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C50D67B8-C0D9-4B50-A4A7-369934F959B5}" xr6:coauthVersionLast="47" xr6:coauthVersionMax="47" xr10:uidLastSave="{00000000-0000-0000-0000-000000000000}"/>
  <bookViews>
    <workbookView xWindow="-110" yWindow="-110" windowWidth="19420" windowHeight="10420" tabRatio="717" firstSheet="1" activeTab="2" xr2:uid="{00000000-000D-0000-FFFF-FFFF00000000}"/>
  </bookViews>
  <sheets>
    <sheet name="PROPUESTA" sheetId="1" state="hidden" r:id="rId1"/>
    <sheet name="FACTIBILIDAD" sheetId="8" r:id="rId2"/>
    <sheet name="RESUMEN" sheetId="2" r:id="rId3"/>
    <sheet name="IMSS" sheetId="3" r:id="rId4"/>
    <sheet name="INFONAVIT" sheetId="4" r:id="rId5"/>
    <sheet name="TABLA VAC" sheetId="5" r:id="rId6"/>
    <sheet name="RCV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8" l="1"/>
  <c r="D34" i="8"/>
  <c r="E34" i="8"/>
  <c r="F34" i="8"/>
  <c r="F33" i="8"/>
  <c r="E33" i="8"/>
  <c r="D33" i="8"/>
  <c r="C33" i="8"/>
  <c r="G12" i="8"/>
  <c r="D45" i="8" s="1"/>
  <c r="E6" i="8"/>
  <c r="D20" i="8"/>
  <c r="C17" i="8"/>
  <c r="P6" i="2"/>
  <c r="G36" i="8"/>
  <c r="G35" i="8"/>
  <c r="G32" i="8"/>
  <c r="F27" i="8"/>
  <c r="E27" i="8"/>
  <c r="D27" i="8"/>
  <c r="C27" i="8"/>
  <c r="G26" i="8"/>
  <c r="G25" i="8"/>
  <c r="G24" i="8"/>
  <c r="G19" i="8"/>
  <c r="K6" i="2"/>
  <c r="O6" i="2" s="1"/>
  <c r="D11" i="6"/>
  <c r="E10" i="6"/>
  <c r="D10" i="6"/>
  <c r="E9" i="6"/>
  <c r="D9" i="6"/>
  <c r="E8" i="6"/>
  <c r="D8" i="6"/>
  <c r="E7" i="6"/>
  <c r="D7" i="6"/>
  <c r="E6" i="6"/>
  <c r="D6" i="6"/>
  <c r="E5" i="6"/>
  <c r="D5" i="6"/>
  <c r="P4" i="3"/>
  <c r="L2" i="2"/>
  <c r="N3" i="2"/>
  <c r="N2" i="2"/>
  <c r="F5" i="5"/>
  <c r="E3" i="2"/>
  <c r="D6" i="2" s="1"/>
  <c r="E6" i="2" s="1"/>
  <c r="I6" i="2" s="1"/>
  <c r="L6" i="2" s="1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G33" i="8" l="1"/>
  <c r="G34" i="8"/>
  <c r="C38" i="8"/>
  <c r="G27" i="8"/>
  <c r="I27" i="8" s="1"/>
  <c r="D38" i="8"/>
  <c r="C20" i="8"/>
  <c r="F38" i="8"/>
  <c r="E38" i="8"/>
  <c r="G18" i="8"/>
  <c r="Q6" i="2"/>
  <c r="F6" i="2"/>
  <c r="N6" i="2" s="1"/>
  <c r="G37" i="8" l="1"/>
  <c r="G38" i="8" l="1"/>
  <c r="I38" i="8" s="1"/>
  <c r="G15" i="3" l="1"/>
  <c r="A15" i="3" l="1"/>
  <c r="A16" i="4" s="1"/>
  <c r="M6" i="2" l="1"/>
  <c r="R6" i="2" l="1"/>
  <c r="D15" i="3"/>
  <c r="N15" i="3" s="1"/>
  <c r="E17" i="8" l="1"/>
  <c r="E20" i="8" s="1"/>
  <c r="V6" i="2"/>
  <c r="O5" i="4"/>
  <c r="O4" i="4"/>
  <c r="N10" i="3"/>
  <c r="Q3" i="3"/>
  <c r="E11" i="1"/>
  <c r="E41" i="1" s="1"/>
  <c r="C8" i="1"/>
  <c r="E7" i="1"/>
  <c r="E8" i="1" l="1"/>
  <c r="D20" i="1"/>
  <c r="E20" i="1" s="1"/>
  <c r="D18" i="1"/>
  <c r="E35" i="1"/>
  <c r="D19" i="1" l="1"/>
  <c r="E19" i="1" s="1"/>
  <c r="E18" i="1"/>
  <c r="E37" i="1"/>
  <c r="E44" i="1" s="1"/>
  <c r="F44" i="1" s="1"/>
  <c r="F35" i="1"/>
  <c r="F37" i="1" s="1"/>
  <c r="H15" i="3" l="1"/>
  <c r="Q15" i="3"/>
  <c r="J15" i="3"/>
  <c r="M15" i="3"/>
  <c r="I15" i="3"/>
  <c r="P15" i="3"/>
  <c r="K15" i="3"/>
  <c r="L15" i="3"/>
  <c r="O15" i="3"/>
  <c r="D16" i="4"/>
  <c r="H16" i="4" s="1"/>
  <c r="E22" i="1"/>
  <c r="I16" i="4" l="1"/>
  <c r="S15" i="3"/>
  <c r="R15" i="3"/>
  <c r="K16" i="4"/>
  <c r="U6" i="2" s="1"/>
  <c r="G16" i="4"/>
  <c r="E29" i="1"/>
  <c r="F22" i="1"/>
  <c r="F42" i="1" s="1"/>
  <c r="E42" i="1"/>
  <c r="T6" i="2" l="1"/>
  <c r="S6" i="2"/>
  <c r="N16" i="4"/>
  <c r="E26" i="1"/>
  <c r="E28" i="1"/>
  <c r="T15" i="3"/>
  <c r="J16" i="4"/>
  <c r="E27" i="1"/>
  <c r="W6" i="2" l="1"/>
  <c r="E31" i="1"/>
  <c r="F31" i="1" s="1"/>
  <c r="F43" i="1" s="1"/>
  <c r="F46" i="1" s="1"/>
  <c r="P16" i="4"/>
  <c r="F17" i="8" l="1"/>
  <c r="F20" i="8" s="1"/>
  <c r="X6" i="2"/>
  <c r="Y6" i="2" s="1"/>
  <c r="E43" i="1"/>
  <c r="E46" i="1" s="1"/>
  <c r="E48" i="1" s="1"/>
  <c r="E50" i="1" s="1"/>
  <c r="G17" i="8" l="1"/>
  <c r="G20" i="8" l="1"/>
  <c r="I20" i="8" s="1"/>
  <c r="D43" i="8" s="1"/>
  <c r="E43" i="8" s="1"/>
  <c r="D47" i="8" l="1"/>
  <c r="E47" i="8" s="1"/>
  <c r="D4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iPad</author>
  </authors>
  <commentList>
    <comment ref="C11" authorId="0" shapeId="0" xr:uid="{00000000-0006-0000-0000-000001000000}">
      <text>
        <r>
          <rPr>
            <sz val="11"/>
            <color indexed="8"/>
            <rFont val="Helvetica"/>
          </rPr>
          <t xml:space="preserve">iPad: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Becario Nominas</author>
  </authors>
  <commentList>
    <comment ref="L6" authorId="0" shapeId="0" xr:uid="{A73588C2-EE96-4A26-8547-9B7AD1F81AEB}">
      <text>
        <r>
          <rPr>
            <b/>
            <sz val="9"/>
            <color indexed="81"/>
            <rFont val="Tahoma"/>
            <family val="2"/>
          </rPr>
          <t>TOPADO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<sst xmlns="http://schemas.openxmlformats.org/spreadsheetml/2006/main" count="234" uniqueCount="184">
  <si>
    <t>PROPUESTA ECONOMICA</t>
  </si>
  <si>
    <t>ADMINISTRACIÓN DE PERSONAL</t>
  </si>
  <si>
    <t>1. PERCEPCIONES</t>
  </si>
  <si>
    <t>Salario Diario</t>
  </si>
  <si>
    <t>Salario Diario Integrado</t>
  </si>
  <si>
    <t>Salario Mensual</t>
  </si>
  <si>
    <t>TOTAL PERCEPCIONES</t>
  </si>
  <si>
    <t>2. PRESTACIONES</t>
  </si>
  <si>
    <t>ANUAL</t>
  </si>
  <si>
    <t>MENSUAL</t>
  </si>
  <si>
    <t>Puntualidad</t>
  </si>
  <si>
    <t>Asistencia</t>
  </si>
  <si>
    <t>Vacaciones</t>
  </si>
  <si>
    <t>Prima Vacacional</t>
  </si>
  <si>
    <t>Aguinaldo</t>
  </si>
  <si>
    <t>SUBTOTAL</t>
  </si>
  <si>
    <t>3. CARGA SOCIAL</t>
  </si>
  <si>
    <t>Cuotas IMSS</t>
  </si>
  <si>
    <t>RCV</t>
  </si>
  <si>
    <t>INFONAVIT</t>
  </si>
  <si>
    <t>Impuesto estatal</t>
  </si>
  <si>
    <t>4. ADMINISTRACIÓN</t>
  </si>
  <si>
    <t>Comisión</t>
  </si>
  <si>
    <t>RESUMEN</t>
  </si>
  <si>
    <r>
      <rPr>
        <b/>
        <sz val="12"/>
        <color indexed="8"/>
        <rFont val="Arial"/>
        <family val="2"/>
      </rPr>
      <t>1.</t>
    </r>
    <r>
      <rPr>
        <sz val="12"/>
        <color indexed="8"/>
        <rFont val="Arial"/>
        <family val="2"/>
      </rPr>
      <t xml:space="preserve"> PERCEPCIONES</t>
    </r>
  </si>
  <si>
    <r>
      <rPr>
        <b/>
        <sz val="12"/>
        <color indexed="8"/>
        <rFont val="Arial"/>
        <family val="2"/>
      </rPr>
      <t>2.</t>
    </r>
    <r>
      <rPr>
        <sz val="12"/>
        <color indexed="8"/>
        <rFont val="Arial"/>
        <family val="2"/>
      </rPr>
      <t xml:space="preserve"> PRESTACIONES</t>
    </r>
  </si>
  <si>
    <r>
      <rPr>
        <b/>
        <sz val="12"/>
        <color indexed="8"/>
        <rFont val="Arial"/>
        <family val="2"/>
      </rPr>
      <t>3.</t>
    </r>
    <r>
      <rPr>
        <sz val="12"/>
        <color indexed="8"/>
        <rFont val="Arial"/>
        <family val="2"/>
      </rPr>
      <t xml:space="preserve"> CARGA SOCIAL</t>
    </r>
  </si>
  <si>
    <r>
      <rPr>
        <b/>
        <sz val="12"/>
        <color indexed="8"/>
        <rFont val="Arial"/>
        <family val="2"/>
      </rPr>
      <t>4.</t>
    </r>
    <r>
      <rPr>
        <sz val="12"/>
        <color indexed="8"/>
        <rFont val="Arial"/>
        <family val="2"/>
      </rPr>
      <t xml:space="preserve"> ADMINISTRACIÓN</t>
    </r>
  </si>
  <si>
    <t>TOTAL</t>
  </si>
  <si>
    <t>+ IVA16%</t>
  </si>
  <si>
    <t>GRAN TOTAL</t>
  </si>
  <si>
    <t>Puesto</t>
  </si>
  <si>
    <t>Salario mensual</t>
  </si>
  <si>
    <t>Salario diario</t>
  </si>
  <si>
    <t>Salario diario integrado</t>
  </si>
  <si>
    <t>Subtotal prestaciones</t>
  </si>
  <si>
    <t>Cuota IMSS</t>
  </si>
  <si>
    <t>Subtotal Carga Social</t>
  </si>
  <si>
    <t>Subtotal</t>
  </si>
  <si>
    <t>Impuesto Estatal</t>
  </si>
  <si>
    <t>SISTEMA ÚNICO DE AUTODETERMINACIÓN</t>
  </si>
  <si>
    <t>Registro Patronal:</t>
  </si>
  <si>
    <t>RFC:</t>
  </si>
  <si>
    <t>Area Geogfráfica:</t>
  </si>
  <si>
    <t>B</t>
  </si>
  <si>
    <t>Fecha de Proceso:</t>
  </si>
  <si>
    <t>Nombre o Razón Social:</t>
  </si>
  <si>
    <t>Delegación IMSS:</t>
  </si>
  <si>
    <t>SMGDF</t>
  </si>
  <si>
    <t>Actividad:</t>
  </si>
  <si>
    <t>SubDelegación IMSS:</t>
  </si>
  <si>
    <t>Domicilio:</t>
  </si>
  <si>
    <t>Pob., Mun / Deleg. D.F.</t>
  </si>
  <si>
    <t>Código Postal:</t>
  </si>
  <si>
    <t>Entidad:</t>
  </si>
  <si>
    <t>Prima de R.T.</t>
  </si>
  <si>
    <t>No. de Seguridad Social</t>
  </si>
  <si>
    <t>N O M B R E</t>
  </si>
  <si>
    <t xml:space="preserve">E n f e r m e d a d e s   y   M a t e r n i d a d </t>
  </si>
  <si>
    <t>S U M A S</t>
  </si>
  <si>
    <t>Clave</t>
  </si>
  <si>
    <t>Fecha</t>
  </si>
  <si>
    <t>Dias</t>
  </si>
  <si>
    <t>SDI</t>
  </si>
  <si>
    <t>Inc</t>
  </si>
  <si>
    <t>Aus</t>
  </si>
  <si>
    <t>CF</t>
  </si>
  <si>
    <t>Exc. Pat.</t>
  </si>
  <si>
    <t>Exc. Obr.</t>
  </si>
  <si>
    <t>P.D. Pat.</t>
  </si>
  <si>
    <t>P.D. Obr.</t>
  </si>
  <si>
    <t>G.M.P. Pat.</t>
  </si>
  <si>
    <t>G.M.P. Obr.</t>
  </si>
  <si>
    <t>R.T.</t>
  </si>
  <si>
    <t>I.V. Pat.</t>
  </si>
  <si>
    <t>I.V. Obr.</t>
  </si>
  <si>
    <t>G.P.S.</t>
  </si>
  <si>
    <t>Patronal</t>
  </si>
  <si>
    <t>Obrera</t>
  </si>
  <si>
    <t>Total</t>
  </si>
  <si>
    <t>CÉDULA DE DETERMINACIÓN DE CUOTAS</t>
  </si>
  <si>
    <t>Bimestre de Proceso: 10/2013</t>
  </si>
  <si>
    <t>Convenio de Reembolso:</t>
  </si>
  <si>
    <t>Aportación Patronal:</t>
  </si>
  <si>
    <t>RFC/CURP</t>
  </si>
  <si>
    <t>Cesantia y Vejez</t>
  </si>
  <si>
    <t>Aportación</t>
  </si>
  <si>
    <t>% o C.F.</t>
  </si>
  <si>
    <t>Tipo y Fecha de</t>
  </si>
  <si>
    <t>Retiro</t>
  </si>
  <si>
    <t>Suma</t>
  </si>
  <si>
    <t>o V.S.M.</t>
  </si>
  <si>
    <t>Amortización *</t>
  </si>
  <si>
    <t>Cred. Vivienda</t>
  </si>
  <si>
    <t>Movto. De Credito</t>
  </si>
  <si>
    <t>0.00</t>
  </si>
  <si>
    <t>Vales de despensa</t>
  </si>
  <si>
    <t>FEE</t>
  </si>
  <si>
    <t>Nombre</t>
  </si>
  <si>
    <t>Dias de vacaciones</t>
  </si>
  <si>
    <t>Factor de integración</t>
  </si>
  <si>
    <t>Prima vacacional</t>
  </si>
  <si>
    <t>Fondo de Ahorro</t>
  </si>
  <si>
    <t>TABLA DE PRESTACIONES DE LEY Y FACTOR DE INTEGRACIÓN</t>
  </si>
  <si>
    <t>Años de</t>
  </si>
  <si>
    <t>Dias de</t>
  </si>
  <si>
    <t>Prima</t>
  </si>
  <si>
    <t>Factor de</t>
  </si>
  <si>
    <t>Antigüedad</t>
  </si>
  <si>
    <t>Vacacional</t>
  </si>
  <si>
    <t>Integración</t>
  </si>
  <si>
    <t>Antigüedad en Años</t>
  </si>
  <si>
    <t>Fechas de ingreso</t>
  </si>
  <si>
    <t>Redondear</t>
  </si>
  <si>
    <t>FECHA HOY</t>
  </si>
  <si>
    <t>UMA 2024</t>
  </si>
  <si>
    <t>248-93</t>
  </si>
  <si>
    <t>VALES TOPADOS IMSS</t>
  </si>
  <si>
    <t>VALES TOPADOS ISR</t>
  </si>
  <si>
    <t>TOPE SDI</t>
  </si>
  <si>
    <t xml:space="preserve">Período de Proceso: </t>
  </si>
  <si>
    <t>COTIZADOR</t>
  </si>
  <si>
    <t>smg</t>
  </si>
  <si>
    <t>UMA</t>
  </si>
  <si>
    <t>Salario base de cotización</t>
  </si>
  <si>
    <t>LIMITE INFERIOR</t>
  </si>
  <si>
    <t>LIMITE SUPERIOR</t>
  </si>
  <si>
    <t>1.0 SM</t>
  </si>
  <si>
    <t>1.01 SM a 1.50 UMA</t>
  </si>
  <si>
    <t>1.51 a 2.00 UMA</t>
  </si>
  <si>
    <t>2.01 a 2.50 UMA</t>
  </si>
  <si>
    <t>2.51 a 3.00 UMA</t>
  </si>
  <si>
    <t>3.01 a 3.50 UMA</t>
  </si>
  <si>
    <t>3.51 a 4.00 UMA</t>
  </si>
  <si>
    <t>4.01 UMA en adelante</t>
  </si>
  <si>
    <t>ANÁLISIS DE RECURSOS</t>
  </si>
  <si>
    <t>Estudios Promedio Semanal</t>
  </si>
  <si>
    <t>FARMACIAS DEL AHORRO</t>
  </si>
  <si>
    <t>FECHA DE ANÁLISIS</t>
  </si>
  <si>
    <t>SERVICIO: INVESTIGACIONES SOCIOLABORALES</t>
  </si>
  <si>
    <t>Precio total Investigaciones Laborales</t>
  </si>
  <si>
    <t>MANO DE OBRA DIRECTA</t>
  </si>
  <si>
    <t>Concepto</t>
  </si>
  <si>
    <t>Sueldo mensual</t>
  </si>
  <si>
    <t>Carga social</t>
  </si>
  <si>
    <t>Costo Estructura fija</t>
  </si>
  <si>
    <t>TECNOLOGÍA</t>
  </si>
  <si>
    <t>Equipo</t>
  </si>
  <si>
    <t>Lap Top</t>
  </si>
  <si>
    <t>Telefonía</t>
  </si>
  <si>
    <t>Impresora</t>
  </si>
  <si>
    <t>Papeleria</t>
  </si>
  <si>
    <t>Costo Tecnología</t>
  </si>
  <si>
    <t>GASTOS OPERATIVOS</t>
  </si>
  <si>
    <t>Semana 1</t>
  </si>
  <si>
    <t>Semana 2</t>
  </si>
  <si>
    <t>Semana 3</t>
  </si>
  <si>
    <t>Semana 4</t>
  </si>
  <si>
    <t>Costo Gastos Operativos</t>
  </si>
  <si>
    <t>Combustible</t>
  </si>
  <si>
    <t>Pago Investigadores</t>
  </si>
  <si>
    <t>Linea Telefónica con internet</t>
  </si>
  <si>
    <t>Herramientas tecnológicas</t>
  </si>
  <si>
    <t>Gastos de visita</t>
  </si>
  <si>
    <t>Valor del proyecto</t>
  </si>
  <si>
    <t>Utilidad bruta</t>
  </si>
  <si>
    <t>DECISIÓN →</t>
  </si>
  <si>
    <t>ELABORÓ</t>
  </si>
  <si>
    <t>REVISÓ</t>
  </si>
  <si>
    <t>APROBÓ</t>
  </si>
  <si>
    <t>FECHA</t>
  </si>
  <si>
    <t>Prestaciones + 10% VD</t>
  </si>
  <si>
    <t>Sociolaborales</t>
  </si>
  <si>
    <t>Ejecutivo de Eses</t>
  </si>
  <si>
    <t xml:space="preserve">Referencias </t>
  </si>
  <si>
    <t>Visita a domicilio</t>
  </si>
  <si>
    <t>Sociolaboral</t>
  </si>
  <si>
    <t>No. Estudios Mensuales</t>
  </si>
  <si>
    <t>Duración del proyecto</t>
  </si>
  <si>
    <t>22</t>
  </si>
  <si>
    <t>Los costos que pagamos aprox:
Etapa 1 demandas: 125 a 162 aprox
Etapa 2 investigaciones laborales de los ultimos 3 empleos o ultimos 5 años: 270 a 295
Etapa 3: visita domiciliara con cotejo de documentos: 220 a 280
Pagamos en total aprox de $650 a $720</t>
  </si>
  <si>
    <t>Ejecutivo de ESES</t>
  </si>
  <si>
    <t>FORMATO
ANÁLISIS DE FACTIBILIDAD PROYECTOS MASIVOS SOCIOECONÓMICOS</t>
  </si>
  <si>
    <r>
      <rPr>
        <sz val="14"/>
        <color theme="1"/>
        <rFont val="Futura Lt BT"/>
      </rPr>
      <t>Área:</t>
    </r>
    <r>
      <rPr>
        <b/>
        <sz val="14"/>
        <color theme="1"/>
        <rFont val="Futura Lt BT"/>
        <family val="2"/>
      </rPr>
      <t xml:space="preserve"> COMERCIAL </t>
    </r>
    <r>
      <rPr>
        <sz val="14"/>
        <color theme="1"/>
        <rFont val="Futura Lt BT"/>
      </rPr>
      <t>Código:</t>
    </r>
    <r>
      <rPr>
        <b/>
        <sz val="14"/>
        <color theme="1"/>
        <rFont val="Futura Lt BT"/>
        <family val="2"/>
      </rPr>
      <t xml:space="preserve"> F22PNO-COM-01.01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</si>
</sst>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&quot;&quot;$&quot;* #,##0.00&quot; &quot;;&quot;-&quot;&quot;$&quot;* #,##0.00&quot; &quot;;&quot; &quot;&quot;$&quot;* &quot;-&quot;??&quot; &quot;"/>
    <numFmt numFmtId="165" formatCode="0.0%"/>
    <numFmt numFmtId="166" formatCode="d&quot; de &quot;mmmm&quot; de &quot;yyyy"/>
    <numFmt numFmtId="167" formatCode="0.00000%"/>
    <numFmt numFmtId="168" formatCode="0.000%"/>
    <numFmt numFmtId="169" formatCode="0.0000%"/>
    <numFmt numFmtId="170" formatCode="&quot; &quot;* #,##0.00&quot; &quot;;&quot;-&quot;* #,##0.00&quot; &quot;;&quot; &quot;* &quot;-&quot;??&quot; &quot;"/>
    <numFmt numFmtId="171" formatCode="[$$-80A]#,##0.00;[Red][$$-80A]#,##0.00"/>
    <numFmt numFmtId="172" formatCode="#,##0_ ;\-#,##0\ "/>
    <numFmt numFmtId="173" formatCode="dd/mm/yyyy;@"/>
    <numFmt numFmtId="174" formatCode="&quot;$&quot;\ #,##0.00"/>
  </numFmts>
  <fonts count="70">
    <font>
      <sz val="12"/>
      <color indexed="8"/>
      <name val="Verdana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sz val="11"/>
      <color theme="1"/>
      <name val="Helvetica"/>
      <family val="2"/>
      <scheme val="minor"/>
    </font>
    <font>
      <sz val="11"/>
      <color indexed="8"/>
      <name val="Helvetica"/>
    </font>
    <font>
      <sz val="10"/>
      <color indexed="8"/>
      <name val="Arial"/>
      <family val="2"/>
    </font>
    <font>
      <b/>
      <sz val="16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11"/>
      <name val="Arial"/>
      <family val="2"/>
    </font>
    <font>
      <sz val="12"/>
      <color indexed="13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6"/>
      <name val="Calibri"/>
      <family val="2"/>
    </font>
    <font>
      <b/>
      <sz val="18"/>
      <color indexed="8"/>
      <name val="Arial"/>
      <family val="2"/>
    </font>
    <font>
      <b/>
      <sz val="15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indexed="8"/>
      <name val="Verdana"/>
      <family val="2"/>
    </font>
    <font>
      <sz val="12"/>
      <color indexed="8"/>
      <name val="Verdana"/>
      <family val="2"/>
    </font>
    <font>
      <sz val="12"/>
      <color indexed="8"/>
      <name val="Verdan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16"/>
      <name val="Calibri"/>
      <family val="2"/>
    </font>
    <font>
      <b/>
      <sz val="18"/>
      <color theme="0"/>
      <name val="Helvetica"/>
      <family val="2"/>
      <scheme val="minor"/>
    </font>
    <font>
      <sz val="16"/>
      <color theme="1"/>
      <name val="Helvetica"/>
      <family val="2"/>
      <scheme val="minor"/>
    </font>
    <font>
      <b/>
      <sz val="16"/>
      <color theme="3" tint="-0.499984740745262"/>
      <name val="Helvetica"/>
      <family val="2"/>
      <scheme val="minor"/>
    </font>
    <font>
      <b/>
      <sz val="16"/>
      <color theme="1"/>
      <name val="Helvetica"/>
      <family val="2"/>
      <scheme val="minor"/>
    </font>
    <font>
      <sz val="16"/>
      <color theme="3" tint="-0.499984740745262"/>
      <name val="Helvetica"/>
      <family val="2"/>
      <scheme val="minor"/>
    </font>
    <font>
      <sz val="16"/>
      <name val="Helvetica"/>
      <family val="2"/>
      <scheme val="minor"/>
    </font>
    <font>
      <b/>
      <sz val="16"/>
      <color indexed="10"/>
      <name val="Corbel"/>
      <family val="2"/>
    </font>
    <font>
      <sz val="10"/>
      <color indexed="8"/>
      <name val="Corbel"/>
      <family val="2"/>
    </font>
    <font>
      <b/>
      <sz val="11"/>
      <color indexed="8"/>
      <name val="Corbel"/>
      <family val="2"/>
    </font>
    <font>
      <sz val="12"/>
      <color indexed="8"/>
      <name val="Corbel"/>
      <family val="2"/>
    </font>
    <font>
      <b/>
      <sz val="12"/>
      <color indexed="10"/>
      <name val="Corbel"/>
      <family val="2"/>
    </font>
    <font>
      <b/>
      <sz val="10"/>
      <color indexed="10"/>
      <name val="Corbel"/>
      <family val="2"/>
    </font>
    <font>
      <b/>
      <sz val="9"/>
      <color indexed="8"/>
      <name val="Corbel"/>
      <family val="2"/>
    </font>
    <font>
      <sz val="8"/>
      <color theme="1"/>
      <name val="Corbel"/>
      <family val="2"/>
    </font>
    <font>
      <sz val="9"/>
      <color indexed="8"/>
      <name val="Corbel"/>
      <family val="2"/>
    </font>
    <font>
      <b/>
      <sz val="12"/>
      <color indexed="8"/>
      <name val="Corbel"/>
      <family val="2"/>
    </font>
    <font>
      <b/>
      <sz val="10"/>
      <color indexed="8"/>
      <name val="Corbel"/>
      <family val="2"/>
    </font>
    <font>
      <b/>
      <sz val="9"/>
      <color indexed="10"/>
      <name val="Corbel"/>
      <family val="2"/>
    </font>
    <font>
      <sz val="8"/>
      <color indexed="8"/>
      <name val="Corbel"/>
      <family val="2"/>
    </font>
    <font>
      <b/>
      <sz val="11"/>
      <color theme="1"/>
      <name val="Helvetica"/>
      <family val="2"/>
      <scheme val="minor"/>
    </font>
    <font>
      <b/>
      <sz val="9.9"/>
      <color rgb="FF0E0C0D"/>
      <name val="Roboto"/>
    </font>
    <font>
      <sz val="9.9"/>
      <color rgb="FF0E0C0D"/>
      <name val="Roboto"/>
    </font>
    <font>
      <sz val="8"/>
      <name val="Corbel"/>
      <family val="2"/>
    </font>
    <font>
      <b/>
      <sz val="11"/>
      <color rgb="FF002060"/>
      <name val="Corbel"/>
      <family val="2"/>
    </font>
    <font>
      <sz val="11"/>
      <color rgb="FF002060"/>
      <name val="Corbel"/>
      <family val="2"/>
    </font>
    <font>
      <b/>
      <sz val="18"/>
      <color rgb="FF002060"/>
      <name val="Corbel"/>
      <family val="2"/>
    </font>
    <font>
      <b/>
      <sz val="16"/>
      <color rgb="FF002060"/>
      <name val="Corbel"/>
      <family val="2"/>
    </font>
    <font>
      <b/>
      <sz val="12"/>
      <color rgb="FF002060"/>
      <name val="Corbel"/>
      <family val="2"/>
    </font>
    <font>
      <b/>
      <i/>
      <sz val="16"/>
      <color rgb="FF002060"/>
      <name val="Corbel"/>
      <family val="2"/>
    </font>
    <font>
      <b/>
      <sz val="14"/>
      <color rgb="FF002060"/>
      <name val="Corbel"/>
      <family val="2"/>
    </font>
    <font>
      <b/>
      <sz val="10"/>
      <color rgb="FF002060"/>
      <name val="Corbel"/>
      <family val="2"/>
    </font>
    <font>
      <sz val="12"/>
      <color rgb="FF002060"/>
      <name val="Corbel"/>
      <family val="2"/>
    </font>
    <font>
      <sz val="14"/>
      <color rgb="FF002060"/>
      <name val="Corbel"/>
      <family val="2"/>
    </font>
    <font>
      <b/>
      <sz val="13"/>
      <color rgb="FF002060"/>
      <name val="Corbel"/>
      <family val="2"/>
    </font>
    <font>
      <sz val="13"/>
      <color rgb="FF002060"/>
      <name val="Corbel"/>
      <family val="2"/>
    </font>
    <font>
      <b/>
      <i/>
      <sz val="14"/>
      <color rgb="FF002060"/>
      <name val="Corbel"/>
      <family val="2"/>
    </font>
    <font>
      <sz val="8"/>
      <color rgb="FF002060"/>
      <name val="Corbel"/>
      <family val="2"/>
    </font>
    <font>
      <sz val="8"/>
      <name val="Verdana"/>
      <family val="2"/>
    </font>
    <font>
      <b/>
      <sz val="14"/>
      <color theme="1"/>
      <name val="Futura Lt BT"/>
      <family val="2"/>
    </font>
    <font>
      <sz val="10"/>
      <color theme="1"/>
      <name val="Futura Lt BT"/>
      <family val="2"/>
    </font>
    <font>
      <sz val="14"/>
      <color theme="1"/>
      <name val="Futura Lt BT"/>
    </font>
    <font>
      <b/>
      <sz val="14"/>
      <color theme="1"/>
      <name val="Futura Lt BT"/>
    </font>
  </fonts>
  <fills count="23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5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theme="8" tint="0.40000610370189521"/>
        </stop>
      </gradientFill>
    </fill>
    <fill>
      <gradientFill degree="90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8"/>
        </stop>
      </gradientFill>
    </fill>
    <fill>
      <patternFill patternType="solid">
        <fgColor rgb="FFFFFFFF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00FF00"/>
        </stop>
      </gradientFill>
    </fill>
    <fill>
      <gradientFill degree="135">
        <stop position="0">
          <color theme="0"/>
        </stop>
        <stop position="1">
          <color rgb="FF92D050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 degree="45">
        <stop position="0">
          <color theme="0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8" tint="0.80001220740379042"/>
        </stop>
      </gradientFill>
    </fill>
    <fill>
      <gradientFill type="path">
        <stop position="0">
          <color theme="0"/>
        </stop>
        <stop position="1">
          <color theme="9" tint="0.59999389629810485"/>
        </stop>
      </gradientFill>
    </fill>
  </fills>
  <borders count="52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 applyNumberFormat="0" applyFill="0" applyBorder="0" applyProtection="0">
      <alignment vertical="top" wrapText="1"/>
    </xf>
    <xf numFmtId="9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5"/>
    <xf numFmtId="44" fontId="3" fillId="0" borderId="5" applyFont="0" applyFill="0" applyBorder="0" applyAlignment="0" applyProtection="0"/>
    <xf numFmtId="9" fontId="2" fillId="0" borderId="5" applyFont="0" applyFill="0" applyBorder="0" applyAlignment="0" applyProtection="0"/>
    <xf numFmtId="0" fontId="1" fillId="0" borderId="5"/>
    <xf numFmtId="44" fontId="1" fillId="0" borderId="5" applyFont="0" applyFill="0" applyBorder="0" applyAlignment="0" applyProtection="0"/>
    <xf numFmtId="0" fontId="1" fillId="0" borderId="5"/>
    <xf numFmtId="0" fontId="1" fillId="0" borderId="5"/>
    <xf numFmtId="0" fontId="25" fillId="0" borderId="5"/>
  </cellStyleXfs>
  <cellXfs count="354">
    <xf numFmtId="0" fontId="0" fillId="0" borderId="0" xfId="0">
      <alignment vertical="top" wrapText="1"/>
    </xf>
    <xf numFmtId="0" fontId="5" fillId="0" borderId="0" xfId="0" applyNumberFormat="1" applyFont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6" fillId="0" borderId="5" xfId="0" applyNumberFormat="1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7" fillId="0" borderId="5" xfId="0" applyNumberFormat="1" applyFont="1" applyBorder="1" applyAlignment="1"/>
    <xf numFmtId="1" fontId="8" fillId="0" borderId="5" xfId="0" applyNumberFormat="1" applyFont="1" applyBorder="1" applyAlignment="1"/>
    <xf numFmtId="0" fontId="9" fillId="0" borderId="5" xfId="0" applyNumberFormat="1" applyFont="1" applyBorder="1" applyAlignment="1"/>
    <xf numFmtId="164" fontId="10" fillId="0" borderId="5" xfId="0" applyNumberFormat="1" applyFont="1" applyBorder="1" applyAlignment="1"/>
    <xf numFmtId="10" fontId="8" fillId="0" borderId="5" xfId="0" applyNumberFormat="1" applyFont="1" applyBorder="1" applyAlignment="1">
      <alignment horizontal="center" vertical="center"/>
    </xf>
    <xf numFmtId="164" fontId="10" fillId="2" borderId="5" xfId="0" applyNumberFormat="1" applyFont="1" applyFill="1" applyBorder="1" applyAlignment="1"/>
    <xf numFmtId="1" fontId="9" fillId="0" borderId="5" xfId="0" applyNumberFormat="1" applyFont="1" applyBorder="1" applyAlignment="1"/>
    <xf numFmtId="0" fontId="11" fillId="0" borderId="5" xfId="0" applyNumberFormat="1" applyFont="1" applyBorder="1" applyAlignment="1"/>
    <xf numFmtId="164" fontId="8" fillId="0" borderId="5" xfId="0" applyNumberFormat="1" applyFont="1" applyBorder="1" applyAlignment="1"/>
    <xf numFmtId="0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9" fontId="10" fillId="0" borderId="5" xfId="0" applyNumberFormat="1" applyFont="1" applyBorder="1" applyAlignment="1"/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9" fontId="8" fillId="0" borderId="5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left" vertical="center"/>
    </xf>
    <xf numFmtId="0" fontId="8" fillId="0" borderId="5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/>
    </xf>
    <xf numFmtId="0" fontId="12" fillId="0" borderId="5" xfId="0" applyNumberFormat="1" applyFont="1" applyBorder="1" applyAlignment="1"/>
    <xf numFmtId="164" fontId="10" fillId="0" borderId="6" xfId="0" applyNumberFormat="1" applyFont="1" applyBorder="1" applyAlignment="1"/>
    <xf numFmtId="165" fontId="10" fillId="2" borderId="5" xfId="0" applyNumberFormat="1" applyFont="1" applyFill="1" applyBorder="1" applyAlignment="1"/>
    <xf numFmtId="1" fontId="12" fillId="0" borderId="5" xfId="0" applyNumberFormat="1" applyFont="1" applyBorder="1" applyAlignment="1"/>
    <xf numFmtId="165" fontId="8" fillId="0" borderId="5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/>
    <xf numFmtId="1" fontId="7" fillId="0" borderId="5" xfId="0" applyNumberFormat="1" applyFont="1" applyBorder="1" applyAlignment="1"/>
    <xf numFmtId="10" fontId="10" fillId="0" borderId="5" xfId="0" applyNumberFormat="1" applyFont="1" applyBorder="1" applyAlignment="1"/>
    <xf numFmtId="10" fontId="8" fillId="0" borderId="5" xfId="0" applyNumberFormat="1" applyFont="1" applyBorder="1" applyAlignment="1"/>
    <xf numFmtId="164" fontId="8" fillId="2" borderId="5" xfId="0" applyNumberFormat="1" applyFont="1" applyFill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1" fontId="8" fillId="0" borderId="8" xfId="0" applyNumberFormat="1" applyFont="1" applyBorder="1" applyAlignment="1">
      <alignment horizontal="right"/>
    </xf>
    <xf numFmtId="164" fontId="8" fillId="0" borderId="8" xfId="0" applyNumberFormat="1" applyFont="1" applyBorder="1" applyAlignment="1"/>
    <xf numFmtId="0" fontId="5" fillId="0" borderId="9" xfId="0" applyFont="1" applyBorder="1" applyAlignment="1"/>
    <xf numFmtId="0" fontId="15" fillId="0" borderId="4" xfId="0" applyNumberFormat="1" applyFont="1" applyBorder="1" applyAlignment="1"/>
    <xf numFmtId="0" fontId="15" fillId="0" borderId="5" xfId="0" applyNumberFormat="1" applyFont="1" applyBorder="1" applyAlignment="1">
      <alignment horizontal="center"/>
    </xf>
    <xf numFmtId="1" fontId="16" fillId="0" borderId="5" xfId="0" applyNumberFormat="1" applyFont="1" applyBorder="1" applyAlignment="1"/>
    <xf numFmtId="0" fontId="15" fillId="0" borderId="5" xfId="0" applyNumberFormat="1" applyFont="1" applyBorder="1" applyAlignment="1"/>
    <xf numFmtId="0" fontId="16" fillId="0" borderId="5" xfId="0" applyNumberFormat="1" applyFont="1" applyBorder="1" applyAlignment="1">
      <alignment horizontal="left"/>
    </xf>
    <xf numFmtId="0" fontId="16" fillId="0" borderId="5" xfId="0" applyNumberFormat="1" applyFont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" fontId="16" fillId="0" borderId="5" xfId="0" applyNumberFormat="1" applyFont="1" applyBorder="1" applyAlignment="1">
      <alignment horizontal="left"/>
    </xf>
    <xf numFmtId="1" fontId="16" fillId="3" borderId="4" xfId="0" applyNumberFormat="1" applyFont="1" applyFill="1" applyBorder="1" applyAlignment="1"/>
    <xf numFmtId="1" fontId="16" fillId="3" borderId="5" xfId="0" applyNumberFormat="1" applyFont="1" applyFill="1" applyBorder="1" applyAlignment="1"/>
    <xf numFmtId="1" fontId="16" fillId="3" borderId="5" xfId="0" applyNumberFormat="1" applyFont="1" applyFill="1" applyBorder="1" applyAlignment="1">
      <alignment horizontal="center"/>
    </xf>
    <xf numFmtId="2" fontId="16" fillId="3" borderId="5" xfId="0" applyNumberFormat="1" applyFont="1" applyFill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10" fontId="16" fillId="0" borderId="5" xfId="0" applyNumberFormat="1" applyFont="1" applyBorder="1" applyAlignment="1">
      <alignment horizontal="center"/>
    </xf>
    <xf numFmtId="168" fontId="16" fillId="0" borderId="5" xfId="0" applyNumberFormat="1" applyFont="1" applyBorder="1" applyAlignment="1">
      <alignment horizontal="center"/>
    </xf>
    <xf numFmtId="169" fontId="16" fillId="0" borderId="5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16" fillId="0" borderId="4" xfId="0" applyNumberFormat="1" applyFont="1" applyBorder="1" applyAlignment="1"/>
    <xf numFmtId="0" fontId="16" fillId="0" borderId="5" xfId="0" applyNumberFormat="1" applyFont="1" applyBorder="1" applyAlignment="1"/>
    <xf numFmtId="1" fontId="16" fillId="4" borderId="5" xfId="0" applyNumberFormat="1" applyFont="1" applyFill="1" applyBorder="1" applyAlignment="1">
      <alignment horizontal="left"/>
    </xf>
    <xf numFmtId="1" fontId="16" fillId="4" borderId="5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/>
    <xf numFmtId="4" fontId="16" fillId="4" borderId="5" xfId="0" applyNumberFormat="1" applyFont="1" applyFill="1" applyBorder="1" applyAlignment="1"/>
    <xf numFmtId="164" fontId="16" fillId="4" borderId="5" xfId="0" applyNumberFormat="1" applyFont="1" applyFill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6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20" fillId="0" borderId="4" xfId="0" applyNumberFormat="1" applyFont="1" applyBorder="1" applyAlignment="1"/>
    <xf numFmtId="1" fontId="21" fillId="0" borderId="5" xfId="0" applyNumberFormat="1" applyFont="1" applyBorder="1" applyAlignment="1"/>
    <xf numFmtId="0" fontId="20" fillId="0" borderId="5" xfId="0" applyNumberFormat="1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0" fontId="20" fillId="0" borderId="5" xfId="0" applyNumberFormat="1" applyFont="1" applyBorder="1" applyAlignment="1"/>
    <xf numFmtId="0" fontId="21" fillId="0" borderId="5" xfId="0" applyNumberFormat="1" applyFont="1" applyBorder="1" applyAlignment="1">
      <alignment horizontal="left"/>
    </xf>
    <xf numFmtId="166" fontId="21" fillId="0" borderId="5" xfId="0" applyNumberFormat="1" applyFont="1" applyBorder="1" applyAlignment="1">
      <alignment horizontal="center"/>
    </xf>
    <xf numFmtId="1" fontId="21" fillId="0" borderId="6" xfId="0" applyNumberFormat="1" applyFont="1" applyBorder="1" applyAlignment="1"/>
    <xf numFmtId="0" fontId="21" fillId="0" borderId="5" xfId="0" applyNumberFormat="1" applyFont="1" applyBorder="1" applyAlignment="1">
      <alignment horizontal="center"/>
    </xf>
    <xf numFmtId="1" fontId="21" fillId="0" borderId="6" xfId="0" applyNumberFormat="1" applyFont="1" applyBorder="1" applyAlignment="1">
      <alignment horizontal="center"/>
    </xf>
    <xf numFmtId="1" fontId="21" fillId="0" borderId="5" xfId="0" applyNumberFormat="1" applyFont="1" applyBorder="1" applyAlignment="1">
      <alignment horizontal="left"/>
    </xf>
    <xf numFmtId="167" fontId="21" fillId="0" borderId="5" xfId="0" applyNumberFormat="1" applyFont="1" applyBorder="1" applyAlignment="1">
      <alignment horizontal="left"/>
    </xf>
    <xf numFmtId="10" fontId="21" fillId="0" borderId="5" xfId="0" applyNumberFormat="1" applyFont="1" applyBorder="1" applyAlignment="1">
      <alignment horizontal="center"/>
    </xf>
    <xf numFmtId="1" fontId="21" fillId="0" borderId="4" xfId="0" applyNumberFormat="1" applyFont="1" applyBorder="1" applyAlignment="1"/>
    <xf numFmtId="1" fontId="21" fillId="3" borderId="4" xfId="0" applyNumberFormat="1" applyFont="1" applyFill="1" applyBorder="1" applyAlignment="1"/>
    <xf numFmtId="1" fontId="21" fillId="3" borderId="5" xfId="0" applyNumberFormat="1" applyFont="1" applyFill="1" applyBorder="1" applyAlignment="1"/>
    <xf numFmtId="1" fontId="21" fillId="3" borderId="5" xfId="0" applyNumberFormat="1" applyFont="1" applyFill="1" applyBorder="1" applyAlignment="1">
      <alignment horizontal="center"/>
    </xf>
    <xf numFmtId="2" fontId="21" fillId="3" borderId="5" xfId="0" applyNumberFormat="1" applyFont="1" applyFill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21" fillId="0" borderId="4" xfId="0" applyNumberFormat="1" applyFont="1" applyBorder="1" applyAlignment="1"/>
    <xf numFmtId="165" fontId="10" fillId="5" borderId="5" xfId="0" applyNumberFormat="1" applyFont="1" applyFill="1" applyBorder="1" applyAlignment="1"/>
    <xf numFmtId="10" fontId="5" fillId="0" borderId="5" xfId="1" applyNumberFormat="1" applyFont="1" applyBorder="1" applyAlignment="1"/>
    <xf numFmtId="164" fontId="21" fillId="5" borderId="5" xfId="0" applyNumberFormat="1" applyFont="1" applyFill="1" applyBorder="1" applyAlignment="1">
      <alignment horizontal="center"/>
    </xf>
    <xf numFmtId="0" fontId="15" fillId="0" borderId="5" xfId="0" applyNumberFormat="1" applyFont="1" applyBorder="1" applyAlignment="1">
      <alignment horizontal="right"/>
    </xf>
    <xf numFmtId="10" fontId="21" fillId="5" borderId="5" xfId="0" applyNumberFormat="1" applyFont="1" applyFill="1" applyBorder="1" applyAlignment="1">
      <alignment horizontal="center"/>
    </xf>
    <xf numFmtId="1" fontId="16" fillId="0" borderId="4" xfId="0" applyNumberFormat="1" applyFont="1" applyFill="1" applyBorder="1" applyAlignment="1"/>
    <xf numFmtId="1" fontId="16" fillId="0" borderId="5" xfId="0" applyNumberFormat="1" applyFont="1" applyFill="1" applyBorder="1" applyAlignment="1">
      <alignment horizontal="left"/>
    </xf>
    <xf numFmtId="0" fontId="16" fillId="0" borderId="5" xfId="0" applyNumberFormat="1" applyFont="1" applyFill="1" applyBorder="1" applyAlignment="1">
      <alignment horizontal="center"/>
    </xf>
    <xf numFmtId="2" fontId="16" fillId="0" borderId="5" xfId="0" applyNumberFormat="1" applyFont="1" applyFill="1" applyBorder="1" applyAlignment="1"/>
    <xf numFmtId="2" fontId="16" fillId="0" borderId="5" xfId="0" applyNumberFormat="1" applyFont="1" applyFill="1" applyBorder="1" applyAlignment="1">
      <alignment horizontal="center"/>
    </xf>
    <xf numFmtId="4" fontId="16" fillId="0" borderId="5" xfId="0" applyNumberFormat="1" applyFont="1" applyFill="1" applyBorder="1" applyAlignment="1"/>
    <xf numFmtId="1" fontId="16" fillId="0" borderId="5" xfId="0" applyNumberFormat="1" applyFont="1" applyFill="1" applyBorder="1" applyAlignment="1">
      <alignment horizontal="center"/>
    </xf>
    <xf numFmtId="164" fontId="16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0" xfId="0" applyNumberFormat="1" applyFont="1" applyFill="1" applyAlignment="1"/>
    <xf numFmtId="0" fontId="0" fillId="0" borderId="0" xfId="0" applyFill="1">
      <alignment vertical="top" wrapText="1"/>
    </xf>
    <xf numFmtId="44" fontId="27" fillId="9" borderId="5" xfId="2" applyFont="1" applyFill="1" applyBorder="1" applyAlignment="1">
      <alignment horizontal="center"/>
    </xf>
    <xf numFmtId="1" fontId="5" fillId="0" borderId="4" xfId="0" applyNumberFormat="1" applyFont="1" applyFill="1" applyBorder="1" applyAlignment="1"/>
    <xf numFmtId="1" fontId="21" fillId="0" borderId="5" xfId="0" applyNumberFormat="1" applyFont="1" applyFill="1" applyBorder="1" applyAlignment="1"/>
    <xf numFmtId="164" fontId="17" fillId="0" borderId="5" xfId="0" applyNumberFormat="1" applyFont="1" applyFill="1" applyBorder="1" applyAlignment="1">
      <alignment horizontal="center"/>
    </xf>
    <xf numFmtId="0" fontId="21" fillId="0" borderId="5" xfId="0" applyNumberFormat="1" applyFont="1" applyFill="1" applyBorder="1" applyAlignment="1">
      <alignment horizontal="center"/>
    </xf>
    <xf numFmtId="2" fontId="21" fillId="0" borderId="5" xfId="0" applyNumberFormat="1" applyFont="1" applyFill="1" applyBorder="1" applyAlignment="1">
      <alignment horizontal="center"/>
    </xf>
    <xf numFmtId="2" fontId="21" fillId="0" borderId="16" xfId="0" applyNumberFormat="1" applyFont="1" applyFill="1" applyBorder="1" applyAlignment="1">
      <alignment horizontal="center"/>
    </xf>
    <xf numFmtId="2" fontId="21" fillId="0" borderId="17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43" fontId="20" fillId="0" borderId="5" xfId="3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9" fillId="0" borderId="5" xfId="4" applyFont="1"/>
    <xf numFmtId="0" fontId="30" fillId="0" borderId="18" xfId="4" applyFont="1" applyBorder="1" applyAlignment="1">
      <alignment horizontal="center"/>
    </xf>
    <xf numFmtId="0" fontId="30" fillId="0" borderId="23" xfId="4" applyFont="1" applyBorder="1" applyAlignment="1">
      <alignment horizontal="center"/>
    </xf>
    <xf numFmtId="0" fontId="30" fillId="0" borderId="20" xfId="4" applyFont="1" applyBorder="1" applyAlignment="1">
      <alignment horizontal="center"/>
    </xf>
    <xf numFmtId="0" fontId="31" fillId="0" borderId="5" xfId="4" applyFont="1" applyAlignment="1">
      <alignment horizontal="center"/>
    </xf>
    <xf numFmtId="0" fontId="30" fillId="0" borderId="24" xfId="4" applyFont="1" applyBorder="1" applyAlignment="1">
      <alignment horizontal="center"/>
    </xf>
    <xf numFmtId="0" fontId="30" fillId="0" borderId="25" xfId="4" applyFont="1" applyBorder="1" applyAlignment="1">
      <alignment horizontal="center"/>
    </xf>
    <xf numFmtId="0" fontId="30" fillId="0" borderId="26" xfId="4" applyFont="1" applyBorder="1" applyAlignment="1">
      <alignment horizontal="center"/>
    </xf>
    <xf numFmtId="0" fontId="32" fillId="6" borderId="27" xfId="4" applyFont="1" applyFill="1" applyBorder="1" applyAlignment="1">
      <alignment horizontal="center"/>
    </xf>
    <xf numFmtId="9" fontId="32" fillId="6" borderId="27" xfId="4" applyNumberFormat="1" applyFont="1" applyFill="1" applyBorder="1" applyAlignment="1">
      <alignment horizontal="center"/>
    </xf>
    <xf numFmtId="44" fontId="29" fillId="0" borderId="5" xfId="5" applyFont="1"/>
    <xf numFmtId="0" fontId="32" fillId="0" borderId="27" xfId="4" applyFont="1" applyBorder="1" applyAlignment="1">
      <alignment horizontal="center"/>
    </xf>
    <xf numFmtId="9" fontId="33" fillId="0" borderId="27" xfId="4" applyNumberFormat="1" applyFont="1" applyBorder="1" applyAlignment="1">
      <alignment horizontal="center"/>
    </xf>
    <xf numFmtId="0" fontId="33" fillId="0" borderId="27" xfId="4" applyFont="1" applyBorder="1" applyAlignment="1">
      <alignment horizontal="center"/>
    </xf>
    <xf numFmtId="9" fontId="32" fillId="0" borderId="27" xfId="4" applyNumberFormat="1" applyFont="1" applyBorder="1" applyAlignment="1">
      <alignment horizontal="center"/>
    </xf>
    <xf numFmtId="10" fontId="29" fillId="0" borderId="5" xfId="6" applyNumberFormat="1" applyFont="1"/>
    <xf numFmtId="0" fontId="29" fillId="0" borderId="5" xfId="4" applyFont="1" applyAlignment="1">
      <alignment horizontal="center"/>
    </xf>
    <xf numFmtId="0" fontId="32" fillId="6" borderId="18" xfId="4" applyFont="1" applyFill="1" applyBorder="1" applyAlignment="1">
      <alignment horizontal="center"/>
    </xf>
    <xf numFmtId="0" fontId="32" fillId="6" borderId="23" xfId="4" applyFont="1" applyFill="1" applyBorder="1" applyAlignment="1">
      <alignment horizontal="center"/>
    </xf>
    <xf numFmtId="9" fontId="32" fillId="6" borderId="23" xfId="4" applyNumberFormat="1" applyFont="1" applyFill="1" applyBorder="1" applyAlignment="1">
      <alignment horizontal="center"/>
    </xf>
    <xf numFmtId="10" fontId="32" fillId="6" borderId="20" xfId="6" applyNumberFormat="1" applyFont="1" applyFill="1" applyBorder="1" applyAlignment="1">
      <alignment horizontal="center"/>
    </xf>
    <xf numFmtId="0" fontId="32" fillId="0" borderId="21" xfId="4" applyFont="1" applyBorder="1" applyAlignment="1">
      <alignment horizontal="center"/>
    </xf>
    <xf numFmtId="10" fontId="33" fillId="0" borderId="22" xfId="6" applyNumberFormat="1" applyFont="1" applyFill="1" applyBorder="1" applyAlignment="1">
      <alignment horizontal="center"/>
    </xf>
    <xf numFmtId="0" fontId="32" fillId="6" borderId="21" xfId="4" applyFont="1" applyFill="1" applyBorder="1" applyAlignment="1">
      <alignment horizontal="center"/>
    </xf>
    <xf numFmtId="10" fontId="32" fillId="6" borderId="22" xfId="6" applyNumberFormat="1" applyFont="1" applyFill="1" applyBorder="1" applyAlignment="1">
      <alignment horizontal="center"/>
    </xf>
    <xf numFmtId="10" fontId="32" fillId="0" borderId="22" xfId="6" applyNumberFormat="1" applyFont="1" applyFill="1" applyBorder="1" applyAlignment="1">
      <alignment horizontal="center"/>
    </xf>
    <xf numFmtId="0" fontId="32" fillId="0" borderId="24" xfId="4" applyFont="1" applyBorder="1" applyAlignment="1">
      <alignment horizontal="center"/>
    </xf>
    <xf numFmtId="0" fontId="32" fillId="0" borderId="25" xfId="4" applyFont="1" applyBorder="1" applyAlignment="1">
      <alignment horizontal="center"/>
    </xf>
    <xf numFmtId="9" fontId="32" fillId="0" borderId="25" xfId="4" applyNumberFormat="1" applyFont="1" applyBorder="1" applyAlignment="1">
      <alignment horizontal="center"/>
    </xf>
    <xf numFmtId="10" fontId="32" fillId="0" borderId="26" xfId="6" applyNumberFormat="1" applyFont="1" applyFill="1" applyBorder="1" applyAlignment="1">
      <alignment horizontal="center"/>
    </xf>
    <xf numFmtId="0" fontId="32" fillId="0" borderId="18" xfId="4" applyFont="1" applyBorder="1" applyAlignment="1">
      <alignment horizontal="center"/>
    </xf>
    <xf numFmtId="0" fontId="32" fillId="0" borderId="23" xfId="4" applyFont="1" applyBorder="1" applyAlignment="1">
      <alignment horizontal="center"/>
    </xf>
    <xf numFmtId="9" fontId="32" fillId="0" borderId="23" xfId="4" applyNumberFormat="1" applyFont="1" applyBorder="1" applyAlignment="1">
      <alignment horizontal="center"/>
    </xf>
    <xf numFmtId="10" fontId="32" fillId="0" borderId="20" xfId="6" applyNumberFormat="1" applyFont="1" applyFill="1" applyBorder="1" applyAlignment="1">
      <alignment horizontal="center"/>
    </xf>
    <xf numFmtId="44" fontId="29" fillId="0" borderId="5" xfId="5" applyFont="1" applyFill="1"/>
    <xf numFmtId="0" fontId="40" fillId="11" borderId="12" xfId="0" applyNumberFormat="1" applyFont="1" applyFill="1" applyBorder="1" applyAlignment="1">
      <alignment horizontal="center" vertical="center" wrapText="1"/>
    </xf>
    <xf numFmtId="0" fontId="40" fillId="11" borderId="12" xfId="0" applyNumberFormat="1" applyFont="1" applyFill="1" applyBorder="1" applyAlignment="1">
      <alignment horizontal="center" vertical="center"/>
    </xf>
    <xf numFmtId="165" fontId="40" fillId="11" borderId="13" xfId="0" applyNumberFormat="1" applyFont="1" applyFill="1" applyBorder="1" applyAlignment="1">
      <alignment horizontal="center" vertical="center"/>
    </xf>
    <xf numFmtId="0" fontId="40" fillId="10" borderId="13" xfId="0" applyNumberFormat="1" applyFont="1" applyFill="1" applyBorder="1" applyAlignment="1">
      <alignment horizontal="center" vertical="center"/>
    </xf>
    <xf numFmtId="9" fontId="40" fillId="10" borderId="13" xfId="0" applyNumberFormat="1" applyFont="1" applyFill="1" applyBorder="1" applyAlignment="1">
      <alignment horizontal="center" vertical="center"/>
    </xf>
    <xf numFmtId="10" fontId="42" fillId="0" borderId="13" xfId="1" applyNumberFormat="1" applyFont="1" applyFill="1" applyBorder="1" applyAlignment="1">
      <alignment horizontal="center" vertical="center"/>
    </xf>
    <xf numFmtId="44" fontId="36" fillId="13" borderId="2" xfId="2" applyFont="1" applyFill="1" applyBorder="1" applyAlignment="1">
      <alignment horizontal="center" vertical="center"/>
    </xf>
    <xf numFmtId="0" fontId="34" fillId="0" borderId="1" xfId="0" applyNumberFormat="1" applyFont="1" applyBorder="1" applyAlignment="1">
      <alignment vertical="center"/>
    </xf>
    <xf numFmtId="0" fontId="34" fillId="0" borderId="2" xfId="0" applyNumberFormat="1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44" fontId="35" fillId="0" borderId="0" xfId="2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4" xfId="0" applyNumberFormat="1" applyFont="1" applyBorder="1" applyAlignment="1">
      <alignment vertical="center"/>
    </xf>
    <xf numFmtId="0" fontId="38" fillId="0" borderId="5" xfId="0" applyNumberFormat="1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vertical="center"/>
    </xf>
    <xf numFmtId="1" fontId="34" fillId="0" borderId="11" xfId="0" applyNumberFormat="1" applyFont="1" applyBorder="1" applyAlignment="1">
      <alignment vertical="center"/>
    </xf>
    <xf numFmtId="14" fontId="39" fillId="0" borderId="11" xfId="0" applyNumberFormat="1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165" fontId="35" fillId="12" borderId="11" xfId="0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2" fontId="41" fillId="0" borderId="13" xfId="0" applyNumberFormat="1" applyFont="1" applyFill="1" applyBorder="1" applyAlignment="1">
      <alignment horizontal="center" vertical="center"/>
    </xf>
    <xf numFmtId="44" fontId="35" fillId="0" borderId="0" xfId="2" applyFont="1" applyFill="1" applyAlignment="1">
      <alignment vertical="center"/>
    </xf>
    <xf numFmtId="0" fontId="35" fillId="0" borderId="0" xfId="0" applyNumberFormat="1" applyFont="1" applyFill="1" applyAlignment="1">
      <alignment vertical="center"/>
    </xf>
    <xf numFmtId="0" fontId="37" fillId="0" borderId="0" xfId="0" applyFont="1" applyFill="1" applyAlignment="1">
      <alignment vertical="center" wrapText="1"/>
    </xf>
    <xf numFmtId="44" fontId="35" fillId="0" borderId="5" xfId="2" applyFont="1" applyFill="1" applyBorder="1" applyAlignment="1">
      <alignment vertical="center"/>
    </xf>
    <xf numFmtId="164" fontId="35" fillId="0" borderId="0" xfId="0" applyNumberFormat="1" applyFont="1" applyAlignment="1">
      <alignment vertical="center"/>
    </xf>
    <xf numFmtId="10" fontId="35" fillId="0" borderId="5" xfId="1" applyNumberFormat="1" applyFont="1" applyFill="1" applyBorder="1" applyAlignment="1">
      <alignment vertical="center"/>
    </xf>
    <xf numFmtId="9" fontId="35" fillId="0" borderId="0" xfId="0" applyNumberFormat="1" applyFont="1" applyAlignment="1">
      <alignment vertical="center"/>
    </xf>
    <xf numFmtId="164" fontId="44" fillId="0" borderId="0" xfId="0" applyNumberFormat="1" applyFont="1" applyAlignment="1">
      <alignment vertical="center"/>
    </xf>
    <xf numFmtId="164" fontId="43" fillId="0" borderId="0" xfId="0" applyNumberFormat="1" applyFont="1" applyFill="1" applyAlignment="1">
      <alignment vertical="center"/>
    </xf>
    <xf numFmtId="9" fontId="35" fillId="0" borderId="0" xfId="0" applyNumberFormat="1" applyFont="1" applyFill="1" applyAlignment="1">
      <alignment vertical="center"/>
    </xf>
    <xf numFmtId="44" fontId="35" fillId="0" borderId="0" xfId="0" applyNumberFormat="1" applyFont="1" applyFill="1" applyAlignment="1">
      <alignment vertical="center"/>
    </xf>
    <xf numFmtId="165" fontId="35" fillId="0" borderId="0" xfId="0" applyNumberFormat="1" applyFont="1" applyAlignment="1">
      <alignment vertical="center"/>
    </xf>
    <xf numFmtId="44" fontId="35" fillId="0" borderId="5" xfId="1" applyNumberFormat="1" applyFont="1" applyFill="1" applyBorder="1" applyAlignment="1">
      <alignment vertical="center"/>
    </xf>
    <xf numFmtId="44" fontId="35" fillId="0" borderId="0" xfId="0" applyNumberFormat="1" applyFont="1" applyAlignment="1">
      <alignment vertical="center"/>
    </xf>
    <xf numFmtId="0" fontId="44" fillId="0" borderId="0" xfId="0" applyNumberFormat="1" applyFont="1" applyAlignment="1">
      <alignment vertical="center"/>
    </xf>
    <xf numFmtId="44" fontId="44" fillId="0" borderId="0" xfId="0" applyNumberFormat="1" applyFont="1" applyAlignment="1">
      <alignment vertical="center"/>
    </xf>
    <xf numFmtId="1" fontId="45" fillId="0" borderId="11" xfId="0" applyNumberFormat="1" applyFont="1" applyBorder="1" applyAlignment="1">
      <alignment vertical="center"/>
    </xf>
    <xf numFmtId="0" fontId="46" fillId="0" borderId="5" xfId="0" applyFont="1" applyBorder="1" applyAlignment="1">
      <alignment horizontal="center" vertical="center" wrapText="1"/>
    </xf>
    <xf numFmtId="44" fontId="36" fillId="14" borderId="5" xfId="2" applyFont="1" applyFill="1" applyBorder="1" applyAlignment="1">
      <alignment vertical="center"/>
    </xf>
    <xf numFmtId="44" fontId="43" fillId="14" borderId="5" xfId="2" applyFont="1" applyFill="1" applyBorder="1" applyAlignment="1">
      <alignment vertical="center"/>
    </xf>
    <xf numFmtId="170" fontId="16" fillId="9" borderId="5" xfId="0" applyNumberFormat="1" applyFont="1" applyFill="1" applyBorder="1" applyAlignment="1"/>
    <xf numFmtId="2" fontId="21" fillId="9" borderId="5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48" fillId="15" borderId="29" xfId="0" applyFont="1" applyFill="1" applyBorder="1">
      <alignment vertical="top" wrapText="1"/>
    </xf>
    <xf numFmtId="0" fontId="48" fillId="15" borderId="29" xfId="0" applyFont="1" applyFill="1" applyBorder="1" applyAlignment="1">
      <alignment horizontal="center" vertical="top" wrapText="1"/>
    </xf>
    <xf numFmtId="10" fontId="49" fillId="15" borderId="29" xfId="0" applyNumberFormat="1" applyFont="1" applyFill="1" applyBorder="1" applyAlignment="1">
      <alignment horizontal="center" vertical="top" wrapText="1"/>
    </xf>
    <xf numFmtId="7" fontId="48" fillId="15" borderId="29" xfId="2" applyNumberFormat="1" applyFont="1" applyFill="1" applyBorder="1" applyAlignment="1">
      <alignment vertical="top" wrapText="1"/>
    </xf>
    <xf numFmtId="0" fontId="48" fillId="9" borderId="29" xfId="0" applyFont="1" applyFill="1" applyBorder="1" applyAlignment="1">
      <alignment horizontal="center" vertical="top" wrapText="1"/>
    </xf>
    <xf numFmtId="10" fontId="49" fillId="9" borderId="29" xfId="0" applyNumberFormat="1" applyFont="1" applyFill="1" applyBorder="1" applyAlignment="1">
      <alignment horizontal="center" vertical="top" wrapText="1"/>
    </xf>
    <xf numFmtId="171" fontId="42" fillId="7" borderId="13" xfId="0" applyNumberFormat="1" applyFont="1" applyFill="1" applyBorder="1" applyAlignment="1">
      <alignment vertical="center"/>
    </xf>
    <xf numFmtId="171" fontId="42" fillId="0" borderId="13" xfId="0" applyNumberFormat="1" applyFont="1" applyFill="1" applyBorder="1" applyAlignment="1">
      <alignment vertical="center"/>
    </xf>
    <xf numFmtId="167" fontId="16" fillId="0" borderId="5" xfId="0" applyNumberFormat="1" applyFont="1" applyFill="1" applyBorder="1" applyAlignment="1">
      <alignment horizontal="center" vertical="center"/>
    </xf>
    <xf numFmtId="167" fontId="21" fillId="5" borderId="5" xfId="0" applyNumberFormat="1" applyFont="1" applyFill="1" applyBorder="1" applyAlignment="1">
      <alignment horizontal="center"/>
    </xf>
    <xf numFmtId="169" fontId="21" fillId="5" borderId="5" xfId="0" applyNumberFormat="1" applyFont="1" applyFill="1" applyBorder="1" applyAlignment="1">
      <alignment horizontal="center"/>
    </xf>
    <xf numFmtId="10" fontId="21" fillId="0" borderId="5" xfId="0" applyNumberFormat="1" applyFont="1" applyFill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15" fontId="50" fillId="0" borderId="13" xfId="7" applyNumberFormat="1" applyFont="1" applyBorder="1" applyAlignment="1">
      <alignment horizontal="center"/>
    </xf>
    <xf numFmtId="0" fontId="44" fillId="0" borderId="0" xfId="0" applyNumberFormat="1" applyFont="1" applyFill="1" applyAlignment="1">
      <alignment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172" fontId="54" fillId="0" borderId="32" xfId="2" applyNumberFormat="1" applyFont="1" applyFill="1" applyBorder="1" applyAlignment="1">
      <alignment horizontal="center" vertical="center" wrapText="1"/>
    </xf>
    <xf numFmtId="0" fontId="56" fillId="0" borderId="0" xfId="0" applyFont="1" applyAlignment="1">
      <alignment horizontal="left" vertical="center"/>
    </xf>
    <xf numFmtId="14" fontId="57" fillId="0" borderId="0" xfId="0" applyNumberFormat="1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horizontal="left" vertical="center" wrapText="1"/>
    </xf>
    <xf numFmtId="44" fontId="52" fillId="0" borderId="0" xfId="0" applyNumberFormat="1" applyFont="1" applyAlignment="1">
      <alignment vertical="center" wrapText="1"/>
    </xf>
    <xf numFmtId="172" fontId="52" fillId="0" borderId="0" xfId="0" applyNumberFormat="1" applyFont="1" applyAlignment="1">
      <alignment vertical="center" wrapText="1"/>
    </xf>
    <xf numFmtId="172" fontId="54" fillId="0" borderId="32" xfId="2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7" fontId="52" fillId="0" borderId="32" xfId="2" applyNumberFormat="1" applyFont="1" applyFill="1" applyBorder="1" applyAlignment="1">
      <alignment horizontal="center" vertical="center" wrapText="1"/>
    </xf>
    <xf numFmtId="7" fontId="51" fillId="0" borderId="32" xfId="2" applyNumberFormat="1" applyFont="1" applyFill="1" applyBorder="1" applyAlignment="1">
      <alignment horizontal="center" vertical="center" wrapText="1"/>
    </xf>
    <xf numFmtId="44" fontId="51" fillId="0" borderId="5" xfId="2" applyFont="1" applyFill="1" applyBorder="1" applyAlignment="1">
      <alignment horizontal="center" vertical="center" wrapText="1"/>
    </xf>
    <xf numFmtId="0" fontId="55" fillId="0" borderId="32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44" fontId="55" fillId="0" borderId="0" xfId="0" applyNumberFormat="1" applyFont="1" applyAlignment="1">
      <alignment horizontal="center" vertical="center" wrapText="1"/>
    </xf>
    <xf numFmtId="44" fontId="55" fillId="0" borderId="5" xfId="2" applyFont="1" applyFill="1" applyBorder="1" applyAlignment="1">
      <alignment horizontal="center" vertical="center" wrapText="1"/>
    </xf>
    <xf numFmtId="16" fontId="58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1" fillId="0" borderId="32" xfId="0" applyFont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62" fillId="0" borderId="0" xfId="0" applyFont="1" applyAlignment="1">
      <alignment vertical="center" wrapText="1"/>
    </xf>
    <xf numFmtId="0" fontId="61" fillId="0" borderId="0" xfId="0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44" fontId="52" fillId="0" borderId="0" xfId="2" applyFont="1" applyFill="1" applyAlignment="1">
      <alignment vertical="center" wrapText="1"/>
    </xf>
    <xf numFmtId="0" fontId="62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9" fontId="63" fillId="16" borderId="32" xfId="1" applyFont="1" applyFill="1" applyBorder="1" applyAlignment="1">
      <alignment horizontal="center" vertical="center" wrapText="1"/>
    </xf>
    <xf numFmtId="44" fontId="52" fillId="0" borderId="5" xfId="2" applyFont="1" applyFill="1" applyBorder="1" applyAlignment="1">
      <alignment vertical="center" wrapText="1"/>
    </xf>
    <xf numFmtId="44" fontId="52" fillId="0" borderId="5" xfId="2" applyFont="1" applyFill="1" applyBorder="1" applyAlignment="1">
      <alignment horizontal="center" vertical="center" wrapText="1"/>
    </xf>
    <xf numFmtId="174" fontId="52" fillId="0" borderId="5" xfId="2" applyNumberFormat="1" applyFont="1" applyFill="1" applyBorder="1" applyAlignment="1">
      <alignment horizontal="center" vertical="center" wrapText="1"/>
    </xf>
    <xf numFmtId="44" fontId="57" fillId="0" borderId="5" xfId="2" applyFont="1" applyFill="1" applyBorder="1" applyAlignment="1">
      <alignment horizontal="center" vertical="center"/>
    </xf>
    <xf numFmtId="0" fontId="64" fillId="0" borderId="0" xfId="0" applyFont="1" applyAlignment="1">
      <alignment vertical="center" wrapText="1"/>
    </xf>
    <xf numFmtId="44" fontId="52" fillId="0" borderId="0" xfId="2" applyFont="1" applyFill="1" applyAlignment="1">
      <alignment horizontal="center" vertical="center" wrapText="1"/>
    </xf>
    <xf numFmtId="44" fontId="51" fillId="0" borderId="0" xfId="0" applyNumberFormat="1" applyFont="1" applyAlignment="1">
      <alignment vertical="center" wrapText="1"/>
    </xf>
    <xf numFmtId="0" fontId="52" fillId="0" borderId="0" xfId="0" applyFont="1" applyAlignment="1">
      <alignment horizontal="left" vertical="center"/>
    </xf>
    <xf numFmtId="0" fontId="51" fillId="17" borderId="35" xfId="0" applyFont="1" applyFill="1" applyBorder="1" applyAlignment="1">
      <alignment horizontal="center" vertical="center" wrapText="1"/>
    </xf>
    <xf numFmtId="7" fontId="51" fillId="0" borderId="5" xfId="2" applyNumberFormat="1" applyFont="1" applyFill="1" applyBorder="1" applyAlignment="1">
      <alignment horizontal="center" vertical="center" wrapText="1"/>
    </xf>
    <xf numFmtId="7" fontId="57" fillId="0" borderId="5" xfId="0" applyNumberFormat="1" applyFont="1" applyFill="1" applyBorder="1" applyAlignment="1">
      <alignment horizontal="center" vertical="center" wrapText="1"/>
    </xf>
    <xf numFmtId="7" fontId="52" fillId="0" borderId="5" xfId="2" applyNumberFormat="1" applyFont="1" applyFill="1" applyBorder="1" applyAlignment="1">
      <alignment horizontal="center" vertical="center" wrapText="1"/>
    </xf>
    <xf numFmtId="44" fontId="55" fillId="0" borderId="5" xfId="2" applyFont="1" applyFill="1" applyBorder="1" applyAlignment="1">
      <alignment horizontal="center" vertical="center"/>
    </xf>
    <xf numFmtId="0" fontId="51" fillId="18" borderId="32" xfId="0" applyFont="1" applyFill="1" applyBorder="1" applyAlignment="1">
      <alignment horizontal="center" vertical="center" wrapText="1"/>
    </xf>
    <xf numFmtId="44" fontId="55" fillId="19" borderId="32" xfId="2" applyFont="1" applyFill="1" applyBorder="1" applyAlignment="1">
      <alignment horizontal="center" vertical="center" wrapText="1"/>
    </xf>
    <xf numFmtId="49" fontId="55" fillId="19" borderId="32" xfId="2" applyNumberFormat="1" applyFont="1" applyFill="1" applyBorder="1" applyAlignment="1">
      <alignment horizontal="center" vertical="center" wrapText="1"/>
    </xf>
    <xf numFmtId="7" fontId="57" fillId="0" borderId="32" xfId="2" applyNumberFormat="1" applyFont="1" applyFill="1" applyBorder="1" applyAlignment="1">
      <alignment horizontal="center" vertical="center" wrapText="1"/>
    </xf>
    <xf numFmtId="7" fontId="57" fillId="21" borderId="32" xfId="2" applyNumberFormat="1" applyFont="1" applyFill="1" applyBorder="1" applyAlignment="1">
      <alignment horizontal="center" vertical="center" wrapText="1"/>
    </xf>
    <xf numFmtId="7" fontId="57" fillId="22" borderId="32" xfId="0" applyNumberFormat="1" applyFont="1" applyFill="1" applyBorder="1" applyAlignment="1">
      <alignment horizontal="center" vertical="center" wrapText="1"/>
    </xf>
    <xf numFmtId="9" fontId="57" fillId="21" borderId="32" xfId="1" applyFont="1" applyFill="1" applyBorder="1" applyAlignment="1">
      <alignment horizontal="center" vertical="center" wrapText="1"/>
    </xf>
    <xf numFmtId="0" fontId="51" fillId="0" borderId="0" xfId="0" applyFont="1" applyAlignment="1">
      <alignment horizontal="right" vertical="center"/>
    </xf>
    <xf numFmtId="173" fontId="51" fillId="0" borderId="5" xfId="0" applyNumberFormat="1" applyFont="1" applyFill="1" applyBorder="1" applyAlignment="1">
      <alignment vertical="center"/>
    </xf>
    <xf numFmtId="0" fontId="52" fillId="0" borderId="5" xfId="0" applyFont="1" applyBorder="1" applyAlignment="1">
      <alignment vertical="center" wrapText="1"/>
    </xf>
    <xf numFmtId="173" fontId="51" fillId="0" borderId="5" xfId="0" applyNumberFormat="1" applyFont="1" applyFill="1" applyBorder="1" applyAlignment="1">
      <alignment vertical="center" wrapText="1"/>
    </xf>
    <xf numFmtId="173" fontId="51" fillId="19" borderId="0" xfId="0" applyNumberFormat="1" applyFont="1" applyFill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1" fillId="0" borderId="33" xfId="0" applyFont="1" applyBorder="1" applyAlignment="1">
      <alignment horizontal="center" vertical="center" wrapText="1"/>
    </xf>
    <xf numFmtId="0" fontId="51" fillId="0" borderId="34" xfId="0" applyFont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66" fillId="0" borderId="41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44" xfId="0" applyFont="1" applyBorder="1" applyAlignment="1">
      <alignment horizontal="center" vertical="center" wrapText="1"/>
    </xf>
    <xf numFmtId="0" fontId="66" fillId="0" borderId="46" xfId="0" applyFont="1" applyBorder="1" applyAlignment="1">
      <alignment horizontal="center" vertical="center" wrapText="1"/>
    </xf>
    <xf numFmtId="0" fontId="66" fillId="0" borderId="51" xfId="0" applyFont="1" applyBorder="1" applyAlignment="1">
      <alignment horizontal="center" vertical="center" wrapText="1"/>
    </xf>
    <xf numFmtId="0" fontId="66" fillId="0" borderId="47" xfId="0" applyFont="1" applyBorder="1" applyAlignment="1">
      <alignment horizontal="center" vertical="center" wrapText="1"/>
    </xf>
    <xf numFmtId="0" fontId="69" fillId="0" borderId="39" xfId="0" applyFont="1" applyBorder="1" applyAlignment="1">
      <alignment horizontal="center" vertical="center" wrapText="1"/>
    </xf>
    <xf numFmtId="0" fontId="66" fillId="0" borderId="42" xfId="0" applyFont="1" applyBorder="1" applyAlignment="1">
      <alignment horizontal="center" vertical="center" wrapText="1"/>
    </xf>
    <xf numFmtId="0" fontId="66" fillId="0" borderId="45" xfId="0" applyFont="1" applyBorder="1" applyAlignment="1">
      <alignment horizontal="center" vertical="center" wrapText="1"/>
    </xf>
    <xf numFmtId="0" fontId="67" fillId="0" borderId="39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center" vertical="center" wrapText="1"/>
    </xf>
    <xf numFmtId="0" fontId="61" fillId="20" borderId="33" xfId="0" applyFont="1" applyFill="1" applyBorder="1" applyAlignment="1">
      <alignment horizontal="center" vertical="center" wrapText="1"/>
    </xf>
    <xf numFmtId="0" fontId="61" fillId="20" borderId="36" xfId="0" applyFont="1" applyFill="1" applyBorder="1" applyAlignment="1">
      <alignment horizontal="center" vertical="center" wrapText="1"/>
    </xf>
    <xf numFmtId="0" fontId="61" fillId="20" borderId="34" xfId="0" applyFont="1" applyFill="1" applyBorder="1" applyAlignment="1">
      <alignment horizontal="center" vertical="center" wrapText="1"/>
    </xf>
    <xf numFmtId="14" fontId="52" fillId="0" borderId="0" xfId="0" applyNumberFormat="1" applyFont="1" applyAlignment="1">
      <alignment horizontal="center" vertical="center" wrapText="1"/>
    </xf>
    <xf numFmtId="44" fontId="55" fillId="19" borderId="48" xfId="2" applyFont="1" applyFill="1" applyBorder="1" applyAlignment="1">
      <alignment horizontal="center" vertical="center" wrapText="1"/>
    </xf>
    <xf numFmtId="44" fontId="55" fillId="19" borderId="49" xfId="2" applyFont="1" applyFill="1" applyBorder="1" applyAlignment="1">
      <alignment horizontal="center" vertical="center" wrapText="1"/>
    </xf>
    <xf numFmtId="0" fontId="52" fillId="0" borderId="39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  <xf numFmtId="0" fontId="52" fillId="0" borderId="45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46" xfId="0" applyFont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 wrapText="1"/>
    </xf>
    <xf numFmtId="0" fontId="51" fillId="17" borderId="37" xfId="0" applyFont="1" applyFill="1" applyBorder="1" applyAlignment="1">
      <alignment horizontal="center" vertical="center" wrapText="1"/>
    </xf>
    <xf numFmtId="0" fontId="51" fillId="17" borderId="38" xfId="0" applyFont="1" applyFill="1" applyBorder="1" applyAlignment="1">
      <alignment horizontal="center" vertical="center" wrapText="1"/>
    </xf>
    <xf numFmtId="0" fontId="51" fillId="17" borderId="35" xfId="0" applyFont="1" applyFill="1" applyBorder="1" applyAlignment="1">
      <alignment horizontal="center" vertical="center" wrapText="1"/>
    </xf>
    <xf numFmtId="0" fontId="40" fillId="11" borderId="12" xfId="0" applyNumberFormat="1" applyFont="1" applyFill="1" applyBorder="1" applyAlignment="1">
      <alignment horizontal="center" vertical="center" wrapText="1"/>
    </xf>
    <xf numFmtId="1" fontId="40" fillId="11" borderId="14" xfId="0" applyNumberFormat="1" applyFont="1" applyFill="1" applyBorder="1" applyAlignment="1">
      <alignment horizontal="center" vertical="center" wrapText="1"/>
    </xf>
    <xf numFmtId="0" fontId="40" fillId="11" borderId="15" xfId="0" applyNumberFormat="1" applyFont="1" applyFill="1" applyBorder="1" applyAlignment="1">
      <alignment horizontal="center" vertical="center" wrapText="1"/>
    </xf>
    <xf numFmtId="0" fontId="40" fillId="11" borderId="13" xfId="0" applyNumberFormat="1" applyFont="1" applyFill="1" applyBorder="1" applyAlignment="1">
      <alignment horizontal="center" vertical="center" wrapText="1"/>
    </xf>
    <xf numFmtId="1" fontId="40" fillId="11" borderId="13" xfId="0" applyNumberFormat="1" applyFont="1" applyFill="1" applyBorder="1" applyAlignment="1">
      <alignment horizontal="center" vertical="center" wrapText="1"/>
    </xf>
    <xf numFmtId="1" fontId="40" fillId="11" borderId="12" xfId="0" applyNumberFormat="1" applyFont="1" applyFill="1" applyBorder="1" applyAlignment="1">
      <alignment horizontal="center" vertical="center" wrapText="1"/>
    </xf>
    <xf numFmtId="0" fontId="40" fillId="11" borderId="13" xfId="0" applyNumberFormat="1" applyFont="1" applyFill="1" applyBorder="1" applyAlignment="1">
      <alignment horizontal="center" vertical="center"/>
    </xf>
    <xf numFmtId="0" fontId="40" fillId="11" borderId="14" xfId="0" applyNumberFormat="1" applyFont="1" applyFill="1" applyBorder="1" applyAlignment="1">
      <alignment horizontal="center" vertical="center" wrapText="1"/>
    </xf>
    <xf numFmtId="0" fontId="40" fillId="11" borderId="12" xfId="0" applyNumberFormat="1" applyFont="1" applyFill="1" applyBorder="1" applyAlignment="1">
      <alignment horizontal="center" vertical="center"/>
    </xf>
    <xf numFmtId="1" fontId="40" fillId="11" borderId="14" xfId="0" applyNumberFormat="1" applyFont="1" applyFill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166" fontId="16" fillId="0" borderId="5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15" fillId="0" borderId="5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28" fillId="8" borderId="18" xfId="4" applyFont="1" applyFill="1" applyBorder="1" applyAlignment="1">
      <alignment horizontal="center" vertical="center"/>
    </xf>
    <xf numFmtId="0" fontId="28" fillId="8" borderId="19" xfId="4" applyFont="1" applyFill="1" applyBorder="1" applyAlignment="1">
      <alignment horizontal="center" vertical="center"/>
    </xf>
    <xf numFmtId="0" fontId="28" fillId="8" borderId="20" xfId="4" applyFont="1" applyFill="1" applyBorder="1" applyAlignment="1">
      <alignment horizontal="center" vertical="center"/>
    </xf>
    <xf numFmtId="0" fontId="28" fillId="8" borderId="21" xfId="4" applyFont="1" applyFill="1" applyBorder="1" applyAlignment="1">
      <alignment horizontal="center" vertical="center"/>
    </xf>
    <xf numFmtId="0" fontId="28" fillId="8" borderId="5" xfId="4" applyFont="1" applyFill="1" applyAlignment="1">
      <alignment horizontal="center" vertical="center"/>
    </xf>
    <xf numFmtId="0" fontId="28" fillId="8" borderId="22" xfId="4" applyFont="1" applyFill="1" applyBorder="1" applyAlignment="1">
      <alignment horizontal="center" vertical="center"/>
    </xf>
    <xf numFmtId="0" fontId="30" fillId="0" borderId="23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7" fontId="48" fillId="15" borderId="30" xfId="2" applyNumberFormat="1" applyFont="1" applyFill="1" applyBorder="1" applyAlignment="1">
      <alignment horizontal="center" vertical="top" wrapText="1"/>
    </xf>
    <xf numFmtId="7" fontId="48" fillId="15" borderId="31" xfId="2" applyNumberFormat="1" applyFont="1" applyFill="1" applyBorder="1" applyAlignment="1">
      <alignment horizontal="center" vertical="top" wrapText="1"/>
    </xf>
  </cellXfs>
  <cellStyles count="12">
    <cellStyle name="Millares" xfId="3" builtinId="3"/>
    <cellStyle name="Moneda" xfId="2" builtinId="4"/>
    <cellStyle name="Moneda 2" xfId="5" xr:uid="{00000000-0005-0000-0000-000002000000}"/>
    <cellStyle name="Moneda 3" xfId="8" xr:uid="{5B25BD76-5AC2-4019-AE06-B5CEF1EABEC7}"/>
    <cellStyle name="Normal" xfId="0" builtinId="0"/>
    <cellStyle name="Normal 2" xfId="4" xr:uid="{00000000-0005-0000-0000-000004000000}"/>
    <cellStyle name="Normal 2 2" xfId="11" xr:uid="{D13FF64D-C0AB-4BF3-AEE5-9A00B6ED89E9}"/>
    <cellStyle name="Normal 3" xfId="9" xr:uid="{C5B92C74-8F74-4A76-A4B6-83A7EFB60002}"/>
    <cellStyle name="Normal 4" xfId="7" xr:uid="{EFE81F34-BED4-42C4-A302-018A3652448D}"/>
    <cellStyle name="Normal 7" xfId="10" xr:uid="{73B333A7-2390-4BCF-9D2E-16CA38FB4ADC}"/>
    <cellStyle name="Porcentaje" xfId="1" builtinId="5"/>
    <cellStyle name="Porcentaje 2" xfId="6" xr:uid="{C04EF129-A593-43CE-A90C-FCBB0E876922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66CC"/>
      <rgbColor rgb="FF333333"/>
      <rgbColor rgb="FFFCF305"/>
      <rgbColor rgb="FF90713A"/>
      <rgbColor rgb="FFCCCCFF"/>
      <rgbColor rgb="FFFFFFFF"/>
      <rgbColor rgb="FFDD0806"/>
      <rgbColor rgb="FF333399"/>
      <rgbColor rgb="FF339966"/>
      <rgbColor rgb="FF99CCFF"/>
      <rgbColor rgb="FF1FB714"/>
      <rgbColor rgb="FFFF8080"/>
      <rgbColor rgb="FF80008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37542</xdr:colOff>
      <xdr:row>0</xdr:row>
      <xdr:rowOff>0</xdr:rowOff>
    </xdr:from>
    <xdr:to>
      <xdr:col>0</xdr:col>
      <xdr:colOff>484910</xdr:colOff>
      <xdr:row>1</xdr:row>
      <xdr:rowOff>155864</xdr:rowOff>
    </xdr:to>
    <xdr:pic>
      <xdr:nvPicPr>
        <xdr:cNvPr id="3" name="logo_imss.png" descr="logo_ims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542" y="0"/>
          <a:ext cx="447368" cy="4502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361156</xdr:colOff>
      <xdr:row>0</xdr:row>
      <xdr:rowOff>123050</xdr:rowOff>
    </xdr:from>
    <xdr:to>
      <xdr:col>15</xdr:col>
      <xdr:colOff>474823</xdr:colOff>
      <xdr:row>2</xdr:row>
      <xdr:rowOff>127725</xdr:rowOff>
    </xdr:to>
    <xdr:pic>
      <xdr:nvPicPr>
        <xdr:cNvPr id="6" name="logo_infonavit.png" descr="logo_infonavit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08956" y="123049"/>
          <a:ext cx="939168" cy="5476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183852</xdr:colOff>
      <xdr:row>0</xdr:row>
      <xdr:rowOff>28749</xdr:rowOff>
    </xdr:from>
    <xdr:to>
      <xdr:col>0</xdr:col>
      <xdr:colOff>988417</xdr:colOff>
      <xdr:row>2</xdr:row>
      <xdr:rowOff>173474</xdr:rowOff>
    </xdr:to>
    <xdr:pic>
      <xdr:nvPicPr>
        <xdr:cNvPr id="7" name="logo_imss.png" descr="logo_ims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852" y="28749"/>
          <a:ext cx="804566" cy="6876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3"/>
  <sheetViews>
    <sheetView showGridLines="0" workbookViewId="0">
      <selection activeCell="I14" sqref="I14"/>
    </sheetView>
  </sheetViews>
  <sheetFormatPr baseColWidth="10" defaultColWidth="8.06640625" defaultRowHeight="15" customHeight="1"/>
  <cols>
    <col min="1" max="1" width="4.59765625" style="1" customWidth="1"/>
    <col min="2" max="2" width="29.59765625" style="1" customWidth="1"/>
    <col min="3" max="3" width="5.73046875" style="1" customWidth="1"/>
    <col min="4" max="4" width="14.06640625" style="1" customWidth="1"/>
    <col min="5" max="5" width="10.59765625" style="1" customWidth="1"/>
    <col min="6" max="6" width="10.19921875" style="1" customWidth="1"/>
    <col min="7" max="7" width="10.59765625" style="1" customWidth="1"/>
    <col min="8" max="8" width="8.59765625" style="1" customWidth="1"/>
    <col min="9" max="256" width="8.06640625" style="1" customWidth="1"/>
  </cols>
  <sheetData>
    <row r="1" spans="1:8" ht="15.5" customHeight="1">
      <c r="A1" s="2"/>
      <c r="B1" s="3"/>
      <c r="C1" s="3"/>
      <c r="D1" s="3"/>
      <c r="E1" s="3"/>
      <c r="F1" s="3"/>
      <c r="G1" s="3"/>
      <c r="H1" s="4"/>
    </row>
    <row r="2" spans="1:8" ht="20.25" customHeight="1">
      <c r="A2" s="5"/>
      <c r="B2" s="6" t="s">
        <v>0</v>
      </c>
      <c r="C2" s="7"/>
      <c r="D2" s="7"/>
      <c r="E2" s="7"/>
      <c r="F2" s="7"/>
      <c r="G2" s="7"/>
      <c r="H2" s="8"/>
    </row>
    <row r="3" spans="1:8" ht="15.75" customHeight="1">
      <c r="A3" s="5"/>
      <c r="B3" s="9" t="s">
        <v>1</v>
      </c>
      <c r="C3" s="7"/>
      <c r="D3" s="7"/>
      <c r="E3" s="7"/>
      <c r="F3" s="7"/>
      <c r="G3" s="7"/>
      <c r="H3" s="8"/>
    </row>
    <row r="4" spans="1:8" ht="15.5" customHeight="1">
      <c r="A4" s="5"/>
      <c r="B4" s="7"/>
      <c r="C4" s="7"/>
      <c r="D4" s="7"/>
      <c r="E4" s="7"/>
      <c r="F4" s="7"/>
      <c r="G4" s="7"/>
      <c r="H4" s="8"/>
    </row>
    <row r="5" spans="1:8" ht="15.75" customHeight="1">
      <c r="A5" s="5"/>
      <c r="B5" s="9" t="s">
        <v>2</v>
      </c>
      <c r="C5" s="10"/>
      <c r="D5" s="7"/>
      <c r="E5" s="7"/>
      <c r="F5" s="7"/>
      <c r="G5" s="7"/>
      <c r="H5" s="8"/>
    </row>
    <row r="6" spans="1:8" ht="15.5" customHeight="1">
      <c r="A6" s="5"/>
      <c r="B6" s="7"/>
      <c r="C6" s="7"/>
      <c r="D6" s="7"/>
      <c r="E6" s="7"/>
      <c r="F6" s="7"/>
      <c r="G6" s="7"/>
      <c r="H6" s="8"/>
    </row>
    <row r="7" spans="1:8" ht="15" customHeight="1">
      <c r="A7" s="5"/>
      <c r="B7" s="11" t="s">
        <v>3</v>
      </c>
      <c r="C7" s="7"/>
      <c r="D7" s="7"/>
      <c r="E7" s="12">
        <f>(E9/30)</f>
        <v>200</v>
      </c>
      <c r="F7" s="7"/>
      <c r="G7" s="7"/>
      <c r="H7" s="8"/>
    </row>
    <row r="8" spans="1:8" ht="15.75" customHeight="1">
      <c r="A8" s="5"/>
      <c r="B8" s="11" t="s">
        <v>4</v>
      </c>
      <c r="C8" s="13">
        <f>((C18*C19)+C20)/365</f>
        <v>4.5205479452054796E-2</v>
      </c>
      <c r="D8" s="7"/>
      <c r="E8" s="12">
        <f>(E7*C8)+E7</f>
        <v>209.04109589041096</v>
      </c>
      <c r="F8" s="7"/>
      <c r="G8" s="7"/>
      <c r="H8" s="8"/>
    </row>
    <row r="9" spans="1:8" ht="15" customHeight="1">
      <c r="A9" s="5"/>
      <c r="B9" s="11" t="s">
        <v>5</v>
      </c>
      <c r="C9" s="7"/>
      <c r="D9" s="7"/>
      <c r="E9" s="14">
        <v>6000</v>
      </c>
      <c r="F9" s="7"/>
      <c r="G9" s="7"/>
      <c r="H9" s="8"/>
    </row>
    <row r="10" spans="1:8" ht="15" customHeight="1">
      <c r="A10" s="5"/>
      <c r="B10" s="15"/>
      <c r="C10" s="7"/>
      <c r="D10" s="7"/>
      <c r="E10" s="12"/>
      <c r="F10" s="7"/>
      <c r="G10" s="7"/>
      <c r="H10" s="8"/>
    </row>
    <row r="11" spans="1:8" ht="15.75" customHeight="1">
      <c r="A11" s="5"/>
      <c r="B11" s="16" t="s">
        <v>6</v>
      </c>
      <c r="C11" s="10"/>
      <c r="D11" s="7"/>
      <c r="E11" s="17">
        <f>SUM(E9:E9)</f>
        <v>6000</v>
      </c>
      <c r="F11" s="7"/>
      <c r="G11" s="12"/>
      <c r="H11" s="8"/>
    </row>
    <row r="12" spans="1:8" ht="15.75" customHeight="1">
      <c r="A12" s="5"/>
      <c r="B12" s="10"/>
      <c r="C12" s="10"/>
      <c r="D12" s="17"/>
      <c r="E12" s="7"/>
      <c r="F12" s="7"/>
      <c r="G12" s="7"/>
      <c r="H12" s="8"/>
    </row>
    <row r="13" spans="1:8" ht="15.75" customHeight="1">
      <c r="A13" s="5"/>
      <c r="B13" s="9" t="s">
        <v>7</v>
      </c>
      <c r="C13" s="10"/>
      <c r="D13" s="7"/>
      <c r="E13" s="7"/>
      <c r="F13" s="7"/>
      <c r="G13" s="7"/>
      <c r="H13" s="8"/>
    </row>
    <row r="14" spans="1:8" ht="15.75" customHeight="1">
      <c r="A14" s="5"/>
      <c r="B14" s="7"/>
      <c r="C14" s="7"/>
      <c r="D14" s="18" t="s">
        <v>8</v>
      </c>
      <c r="E14" s="18" t="s">
        <v>9</v>
      </c>
      <c r="F14" s="7"/>
      <c r="G14" s="7"/>
      <c r="H14" s="8"/>
    </row>
    <row r="15" spans="1:8" ht="15.75" customHeight="1">
      <c r="A15" s="5"/>
      <c r="B15" s="7"/>
      <c r="C15" s="7"/>
      <c r="D15" s="19"/>
      <c r="E15" s="19"/>
      <c r="F15" s="7"/>
      <c r="G15" s="7"/>
      <c r="H15" s="8"/>
    </row>
    <row r="16" spans="1:8" ht="15.75" customHeight="1">
      <c r="A16" s="5"/>
      <c r="B16" s="11" t="s">
        <v>10</v>
      </c>
      <c r="C16" s="20"/>
      <c r="D16" s="19"/>
      <c r="E16" s="21"/>
      <c r="F16" s="21"/>
      <c r="G16" s="7"/>
      <c r="H16" s="8"/>
    </row>
    <row r="17" spans="1:8" ht="15" customHeight="1">
      <c r="A17" s="5"/>
      <c r="B17" s="11" t="s">
        <v>11</v>
      </c>
      <c r="C17" s="20"/>
      <c r="D17" s="22"/>
      <c r="E17" s="21"/>
      <c r="F17" s="21"/>
      <c r="G17" s="7"/>
      <c r="H17" s="8"/>
    </row>
    <row r="18" spans="1:8" ht="15.75" customHeight="1">
      <c r="A18" s="5"/>
      <c r="B18" s="11" t="s">
        <v>12</v>
      </c>
      <c r="C18" s="18">
        <v>6</v>
      </c>
      <c r="D18" s="12">
        <f>(E7*C18)</f>
        <v>1200</v>
      </c>
      <c r="E18" s="12">
        <f>D18/12</f>
        <v>100</v>
      </c>
      <c r="F18" s="7"/>
      <c r="G18" s="7"/>
      <c r="H18" s="8"/>
    </row>
    <row r="19" spans="1:8" ht="15.75" customHeight="1">
      <c r="A19" s="5"/>
      <c r="B19" s="11" t="s">
        <v>13</v>
      </c>
      <c r="C19" s="23">
        <v>0.25</v>
      </c>
      <c r="D19" s="12">
        <f>(D18*C19)</f>
        <v>300</v>
      </c>
      <c r="E19" s="12">
        <f>D19/12</f>
        <v>25</v>
      </c>
      <c r="F19" s="7"/>
      <c r="G19" s="7"/>
      <c r="H19" s="8"/>
    </row>
    <row r="20" spans="1:8" ht="15.75" customHeight="1">
      <c r="A20" s="5"/>
      <c r="B20" s="11" t="s">
        <v>14</v>
      </c>
      <c r="C20" s="18">
        <v>15</v>
      </c>
      <c r="D20" s="12">
        <f>(E7*C20)</f>
        <v>3000</v>
      </c>
      <c r="E20" s="12">
        <f>D20/12</f>
        <v>250</v>
      </c>
      <c r="F20" s="7"/>
      <c r="G20" s="7"/>
      <c r="H20" s="8"/>
    </row>
    <row r="21" spans="1:8" ht="15.5" customHeight="1">
      <c r="A21" s="5"/>
      <c r="B21" s="7"/>
      <c r="C21" s="7"/>
      <c r="D21" s="7"/>
      <c r="E21" s="7"/>
      <c r="F21" s="7"/>
      <c r="G21" s="7"/>
      <c r="H21" s="8"/>
    </row>
    <row r="22" spans="1:8" ht="15.75" customHeight="1">
      <c r="A22" s="5"/>
      <c r="B22" s="24"/>
      <c r="C22" s="7"/>
      <c r="D22" s="25" t="s">
        <v>15</v>
      </c>
      <c r="E22" s="17">
        <f>SUM(E18:E20)</f>
        <v>375</v>
      </c>
      <c r="F22" s="26">
        <f>E22/E11</f>
        <v>6.25E-2</v>
      </c>
      <c r="G22" s="7"/>
      <c r="H22" s="8"/>
    </row>
    <row r="23" spans="1:8" ht="15.5" customHeight="1">
      <c r="A23" s="5"/>
      <c r="B23" s="7"/>
      <c r="C23" s="7"/>
      <c r="D23" s="7"/>
      <c r="E23" s="7"/>
      <c r="F23" s="7"/>
      <c r="G23" s="7"/>
      <c r="H23" s="8"/>
    </row>
    <row r="24" spans="1:8" ht="15.75" customHeight="1">
      <c r="A24" s="5"/>
      <c r="B24" s="9" t="s">
        <v>16</v>
      </c>
      <c r="C24" s="7"/>
      <c r="D24" s="7"/>
      <c r="E24" s="7"/>
      <c r="F24" s="7"/>
      <c r="G24" s="7"/>
      <c r="H24" s="8"/>
    </row>
    <row r="25" spans="1:8" ht="15.5" customHeight="1">
      <c r="A25" s="5"/>
      <c r="B25" s="7"/>
      <c r="C25" s="7"/>
      <c r="D25" s="7"/>
      <c r="E25" s="7"/>
      <c r="F25" s="7"/>
      <c r="G25" s="7"/>
      <c r="H25" s="8"/>
    </row>
    <row r="26" spans="1:8" ht="15" customHeight="1">
      <c r="A26" s="5"/>
      <c r="B26" s="11" t="s">
        <v>17</v>
      </c>
      <c r="C26" s="7"/>
      <c r="D26" s="7"/>
      <c r="E26" s="12">
        <f ca="1">+IMSS!R15</f>
        <v>1277.1293805296802</v>
      </c>
      <c r="F26" s="7"/>
      <c r="G26" s="12"/>
      <c r="H26" s="28"/>
    </row>
    <row r="27" spans="1:8" ht="15" customHeight="1">
      <c r="A27" s="5"/>
      <c r="B27" s="11" t="s">
        <v>18</v>
      </c>
      <c r="C27" s="7"/>
      <c r="D27" s="7"/>
      <c r="E27" s="12">
        <f ca="1">+INFONAVIT!G16+INFONAVIT!H16</f>
        <v>540.15941552511413</v>
      </c>
      <c r="F27" s="7"/>
      <c r="G27" s="12"/>
      <c r="H27" s="28"/>
    </row>
    <row r="28" spans="1:8" ht="15" customHeight="1">
      <c r="A28" s="5"/>
      <c r="B28" s="11" t="s">
        <v>19</v>
      </c>
      <c r="C28" s="7"/>
      <c r="D28" s="7"/>
      <c r="E28" s="12">
        <f ca="1">+INFONAVIT!K16</f>
        <v>425.32237442922383</v>
      </c>
      <c r="F28" s="7"/>
      <c r="G28" s="12"/>
      <c r="H28" s="28"/>
    </row>
    <row r="29" spans="1:8" ht="15" customHeight="1">
      <c r="A29" s="5"/>
      <c r="B29" s="11" t="s">
        <v>20</v>
      </c>
      <c r="C29" s="29">
        <v>0.03</v>
      </c>
      <c r="D29" s="7"/>
      <c r="E29" s="12">
        <f>(E9+E22)*C29</f>
        <v>191.25</v>
      </c>
      <c r="F29" s="7"/>
      <c r="G29" s="12"/>
      <c r="H29" s="28"/>
    </row>
    <row r="30" spans="1:8" ht="15" customHeight="1">
      <c r="A30" s="5"/>
      <c r="B30" s="30"/>
      <c r="C30" s="7"/>
      <c r="D30" s="7"/>
      <c r="E30" s="7"/>
      <c r="F30" s="7"/>
      <c r="G30" s="7"/>
      <c r="H30" s="8"/>
    </row>
    <row r="31" spans="1:8" ht="15.75" customHeight="1">
      <c r="A31" s="5"/>
      <c r="B31" s="30"/>
      <c r="C31" s="7"/>
      <c r="D31" s="25" t="s">
        <v>15</v>
      </c>
      <c r="E31" s="17">
        <f ca="1">SUM(E26:E29)</f>
        <v>2433.8611704840182</v>
      </c>
      <c r="F31" s="31">
        <f ca="1">E31/E11</f>
        <v>0.40564352841400303</v>
      </c>
      <c r="G31" s="7"/>
      <c r="H31" s="8"/>
    </row>
    <row r="32" spans="1:8" ht="15.5" customHeight="1">
      <c r="A32" s="5"/>
      <c r="B32" s="7"/>
      <c r="C32" s="7"/>
      <c r="D32" s="7"/>
      <c r="E32" s="7"/>
      <c r="F32" s="7"/>
      <c r="G32" s="7"/>
      <c r="H32" s="8"/>
    </row>
    <row r="33" spans="1:8" ht="15.75" customHeight="1">
      <c r="A33" s="5"/>
      <c r="B33" s="9" t="s">
        <v>21</v>
      </c>
      <c r="C33" s="7"/>
      <c r="D33" s="7"/>
      <c r="E33" s="7"/>
      <c r="F33" s="7"/>
      <c r="G33" s="7"/>
      <c r="H33" s="8"/>
    </row>
    <row r="34" spans="1:8" ht="15.5" customHeight="1">
      <c r="A34" s="5"/>
      <c r="B34" s="7"/>
      <c r="C34" s="7"/>
      <c r="D34" s="7"/>
      <c r="E34" s="7"/>
      <c r="F34" s="7"/>
      <c r="G34" s="7"/>
      <c r="H34" s="8"/>
    </row>
    <row r="35" spans="1:8" ht="15" customHeight="1">
      <c r="A35" s="5"/>
      <c r="B35" s="11" t="s">
        <v>22</v>
      </c>
      <c r="C35" s="94">
        <v>0.12</v>
      </c>
      <c r="D35" s="7"/>
      <c r="E35" s="12">
        <f>(E11*C35)</f>
        <v>720</v>
      </c>
      <c r="F35" s="32">
        <f>E35/E11</f>
        <v>0.12</v>
      </c>
      <c r="G35" s="7"/>
      <c r="H35" s="8"/>
    </row>
    <row r="36" spans="1:8" ht="15" customHeight="1">
      <c r="A36" s="5"/>
      <c r="B36" s="30"/>
      <c r="C36" s="20"/>
      <c r="D36" s="7"/>
      <c r="E36" s="12"/>
      <c r="F36" s="7"/>
      <c r="G36" s="7"/>
      <c r="H36" s="8"/>
    </row>
    <row r="37" spans="1:8" ht="15.75" customHeight="1">
      <c r="A37" s="5"/>
      <c r="B37" s="30"/>
      <c r="C37" s="20"/>
      <c r="D37" s="25" t="s">
        <v>15</v>
      </c>
      <c r="E37" s="17">
        <f>E35</f>
        <v>720</v>
      </c>
      <c r="F37" s="33">
        <f>F35</f>
        <v>0.12</v>
      </c>
      <c r="G37" s="7"/>
      <c r="H37" s="8"/>
    </row>
    <row r="38" spans="1:8" ht="15.75" customHeight="1">
      <c r="A38" s="5"/>
      <c r="B38" s="34"/>
      <c r="C38" s="7"/>
      <c r="D38" s="7"/>
      <c r="E38" s="7"/>
      <c r="F38" s="7"/>
      <c r="G38" s="7"/>
      <c r="H38" s="8"/>
    </row>
    <row r="39" spans="1:8" ht="15.75" customHeight="1">
      <c r="A39" s="5"/>
      <c r="B39" s="9" t="s">
        <v>23</v>
      </c>
      <c r="C39" s="7"/>
      <c r="D39" s="7"/>
      <c r="E39" s="7"/>
      <c r="F39" s="7"/>
      <c r="G39" s="7"/>
      <c r="H39" s="8"/>
    </row>
    <row r="40" spans="1:8" ht="15.5" customHeight="1">
      <c r="A40" s="5"/>
      <c r="B40" s="7"/>
      <c r="C40" s="7"/>
      <c r="D40" s="7"/>
      <c r="E40" s="7"/>
      <c r="F40" s="7"/>
      <c r="G40" s="7"/>
      <c r="H40" s="8"/>
    </row>
    <row r="41" spans="1:8" ht="15.75" customHeight="1">
      <c r="A41" s="5"/>
      <c r="B41" s="27" t="s">
        <v>24</v>
      </c>
      <c r="C41" s="7"/>
      <c r="D41" s="7"/>
      <c r="E41" s="12">
        <f>(E11)</f>
        <v>6000</v>
      </c>
      <c r="F41" s="7"/>
      <c r="G41" s="7"/>
      <c r="H41" s="8"/>
    </row>
    <row r="42" spans="1:8" ht="15.75" customHeight="1">
      <c r="A42" s="5"/>
      <c r="B42" s="27" t="s">
        <v>25</v>
      </c>
      <c r="C42" s="95"/>
      <c r="D42" s="7"/>
      <c r="E42" s="12">
        <f>E22</f>
        <v>375</v>
      </c>
      <c r="F42" s="35">
        <f>F22</f>
        <v>6.25E-2</v>
      </c>
      <c r="G42" s="7"/>
      <c r="H42" s="8"/>
    </row>
    <row r="43" spans="1:8" ht="15.75" customHeight="1">
      <c r="A43" s="5"/>
      <c r="B43" s="27" t="s">
        <v>26</v>
      </c>
      <c r="C43" s="95"/>
      <c r="D43" s="7"/>
      <c r="E43" s="12">
        <f ca="1">E31</f>
        <v>2433.8611704840182</v>
      </c>
      <c r="F43" s="35">
        <f ca="1">(F31)</f>
        <v>0.40564352841400303</v>
      </c>
      <c r="G43" s="7"/>
      <c r="H43" s="8"/>
    </row>
    <row r="44" spans="1:8" ht="15.75" customHeight="1">
      <c r="A44" s="5"/>
      <c r="B44" s="27" t="s">
        <v>27</v>
      </c>
      <c r="C44" s="95"/>
      <c r="D44" s="7"/>
      <c r="E44" s="12">
        <f>E37</f>
        <v>720</v>
      </c>
      <c r="F44" s="35">
        <f>(E44/E41)</f>
        <v>0.12</v>
      </c>
      <c r="G44" s="7"/>
      <c r="H44" s="8"/>
    </row>
    <row r="45" spans="1:8" ht="15" customHeight="1">
      <c r="A45" s="5"/>
      <c r="B45" s="30"/>
      <c r="C45" s="7"/>
      <c r="D45" s="7"/>
      <c r="E45" s="7"/>
      <c r="F45" s="7"/>
      <c r="G45" s="7"/>
      <c r="H45" s="8"/>
    </row>
    <row r="46" spans="1:8" ht="15.75" customHeight="1">
      <c r="A46" s="5"/>
      <c r="B46" s="30"/>
      <c r="C46" s="7"/>
      <c r="D46" s="25" t="s">
        <v>28</v>
      </c>
      <c r="E46" s="17">
        <f ca="1">SUM(E41:E44)</f>
        <v>9528.8611704840187</v>
      </c>
      <c r="F46" s="36">
        <f ca="1">SUM(F41:F44)</f>
        <v>0.58814352841400308</v>
      </c>
      <c r="G46" s="7"/>
      <c r="H46" s="8"/>
    </row>
    <row r="47" spans="1:8" ht="15" customHeight="1">
      <c r="A47" s="5"/>
      <c r="B47" s="30"/>
      <c r="C47" s="7"/>
      <c r="D47" s="7"/>
      <c r="E47" s="7"/>
      <c r="F47" s="7"/>
      <c r="G47" s="7"/>
      <c r="H47" s="8"/>
    </row>
    <row r="48" spans="1:8" ht="15.75" customHeight="1">
      <c r="A48" s="5"/>
      <c r="B48" s="30"/>
      <c r="C48" s="7"/>
      <c r="D48" s="25" t="s">
        <v>29</v>
      </c>
      <c r="E48" s="17">
        <f ca="1">(E46*0.16)</f>
        <v>1524.6177872774431</v>
      </c>
      <c r="F48" s="7"/>
      <c r="G48" s="7"/>
      <c r="H48" s="8"/>
    </row>
    <row r="49" spans="1:8" ht="15.5" customHeight="1">
      <c r="A49" s="5"/>
      <c r="B49" s="7"/>
      <c r="C49" s="7"/>
      <c r="D49" s="7"/>
      <c r="E49" s="7"/>
      <c r="F49" s="7"/>
      <c r="G49" s="7"/>
      <c r="H49" s="8"/>
    </row>
    <row r="50" spans="1:8" ht="15.75" customHeight="1">
      <c r="A50" s="5"/>
      <c r="B50" s="7"/>
      <c r="C50" s="7"/>
      <c r="D50" s="25" t="s">
        <v>30</v>
      </c>
      <c r="E50" s="37">
        <f ca="1">(E46+E48)</f>
        <v>11053.478957761461</v>
      </c>
      <c r="F50" s="7"/>
      <c r="G50" s="7"/>
      <c r="H50" s="8"/>
    </row>
    <row r="51" spans="1:8" ht="15.75" customHeight="1">
      <c r="A51" s="5"/>
      <c r="B51" s="7"/>
      <c r="C51" s="7"/>
      <c r="D51" s="19"/>
      <c r="E51" s="12"/>
      <c r="F51" s="7"/>
      <c r="G51" s="7"/>
      <c r="H51" s="8"/>
    </row>
    <row r="52" spans="1:8" ht="15.5" customHeight="1">
      <c r="A52" s="5"/>
      <c r="B52" s="7"/>
      <c r="C52" s="7"/>
      <c r="D52" s="7"/>
      <c r="E52" s="7"/>
      <c r="F52" s="7"/>
      <c r="G52" s="7"/>
      <c r="H52" s="8"/>
    </row>
    <row r="53" spans="1:8" ht="15.75" customHeight="1">
      <c r="A53" s="38"/>
      <c r="B53" s="39"/>
      <c r="C53" s="39"/>
      <c r="D53" s="40"/>
      <c r="E53" s="41"/>
      <c r="F53" s="39"/>
      <c r="G53" s="39"/>
      <c r="H53" s="42"/>
    </row>
  </sheetData>
  <pageMargins left="0.75" right="0.75" top="1" bottom="1" header="0.5" footer="0.5"/>
  <pageSetup orientation="portrait"/>
  <headerFooter>
    <oddFooter>&amp;L&amp;"Helvetica,Regular"&amp;11&amp;K000000	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8CA3-FE24-4A31-977A-6EBCCE544C69}">
  <dimension ref="A1:M78"/>
  <sheetViews>
    <sheetView showGridLines="0" zoomScale="80" zoomScaleNormal="80" workbookViewId="0">
      <selection activeCell="G7" sqref="G7"/>
    </sheetView>
  </sheetViews>
  <sheetFormatPr baseColWidth="10" defaultColWidth="8.33203125" defaultRowHeight="14.5"/>
  <cols>
    <col min="1" max="1" width="3.73046875" style="229" bestFit="1" customWidth="1"/>
    <col min="2" max="2" width="25.19921875" style="229" customWidth="1"/>
    <col min="3" max="3" width="20.06640625" style="229" customWidth="1"/>
    <col min="4" max="4" width="19.06640625" style="229" customWidth="1"/>
    <col min="5" max="5" width="14.265625" style="229" bestFit="1" customWidth="1"/>
    <col min="6" max="6" width="10.46484375" style="229" customWidth="1"/>
    <col min="7" max="7" width="21.796875" style="229" customWidth="1"/>
    <col min="8" max="8" width="11.9296875" style="229" customWidth="1"/>
    <col min="9" max="9" width="12.796875" style="229" customWidth="1"/>
    <col min="10" max="13" width="8.9296875" style="229" customWidth="1"/>
    <col min="14" max="16384" width="8.33203125" style="229"/>
  </cols>
  <sheetData>
    <row r="1" spans="1:13" ht="15" customHeight="1">
      <c r="A1" s="280" t="e" vm="1">
        <v>#VALUE!</v>
      </c>
      <c r="B1" s="280"/>
      <c r="C1" s="284" t="s">
        <v>182</v>
      </c>
      <c r="D1" s="285"/>
      <c r="E1" s="285"/>
      <c r="F1" s="286"/>
      <c r="G1" s="293" t="s">
        <v>183</v>
      </c>
      <c r="H1" s="296" t="e" vm="2">
        <v>#VALUE!</v>
      </c>
      <c r="I1" s="296" t="e" vm="3">
        <v>#VALUE!</v>
      </c>
    </row>
    <row r="2" spans="1:13" s="224" customFormat="1" ht="30" customHeight="1">
      <c r="A2" s="280"/>
      <c r="B2" s="280"/>
      <c r="C2" s="287"/>
      <c r="D2" s="288"/>
      <c r="E2" s="288"/>
      <c r="F2" s="289"/>
      <c r="G2" s="294"/>
      <c r="H2" s="297"/>
      <c r="I2" s="297"/>
      <c r="J2" s="278"/>
      <c r="K2" s="276"/>
      <c r="L2" s="276"/>
      <c r="M2" s="276"/>
    </row>
    <row r="3" spans="1:13" s="224" customFormat="1" ht="30" customHeight="1">
      <c r="A3" s="280"/>
      <c r="B3" s="280"/>
      <c r="C3" s="287"/>
      <c r="D3" s="288"/>
      <c r="E3" s="288"/>
      <c r="F3" s="289"/>
      <c r="G3" s="294"/>
      <c r="H3" s="297"/>
      <c r="I3" s="297"/>
      <c r="J3" s="276"/>
      <c r="K3" s="276"/>
      <c r="L3" s="276"/>
      <c r="M3" s="276"/>
    </row>
    <row r="4" spans="1:13" s="224" customFormat="1" ht="12.5" customHeight="1">
      <c r="A4" s="280"/>
      <c r="B4" s="280"/>
      <c r="C4" s="290"/>
      <c r="D4" s="291"/>
      <c r="E4" s="291"/>
      <c r="F4" s="292"/>
      <c r="G4" s="295"/>
      <c r="H4" s="298"/>
      <c r="I4" s="298"/>
      <c r="J4" s="276"/>
      <c r="K4" s="276"/>
      <c r="L4" s="276"/>
      <c r="M4" s="276"/>
    </row>
    <row r="5" spans="1:13" ht="22.65" customHeight="1">
      <c r="I5" s="277"/>
      <c r="J5" s="276"/>
      <c r="K5" s="276"/>
      <c r="L5" s="276"/>
      <c r="M5" s="276"/>
    </row>
    <row r="6" spans="1:13" ht="19.649999999999999" customHeight="1">
      <c r="A6" s="224"/>
      <c r="B6" s="223" t="s">
        <v>135</v>
      </c>
      <c r="C6" s="224"/>
      <c r="D6" s="268" t="s">
        <v>177</v>
      </c>
      <c r="E6" s="225">
        <f>SUM(G7:G9)*4</f>
        <v>264</v>
      </c>
      <c r="F6" s="224"/>
      <c r="G6" s="268" t="s">
        <v>136</v>
      </c>
      <c r="H6" s="224"/>
      <c r="I6" s="279" t="s">
        <v>180</v>
      </c>
      <c r="J6" s="279"/>
      <c r="K6" s="279"/>
      <c r="L6" s="279"/>
      <c r="M6" s="276"/>
    </row>
    <row r="7" spans="1:13" ht="20.25" customHeight="1">
      <c r="A7" s="224"/>
      <c r="B7" s="226" t="s">
        <v>137</v>
      </c>
      <c r="C7" s="224"/>
      <c r="D7" s="268" t="s">
        <v>176</v>
      </c>
      <c r="E7" s="271">
        <v>162</v>
      </c>
      <c r="F7" s="224"/>
      <c r="G7" s="225">
        <v>22</v>
      </c>
      <c r="H7" s="224"/>
      <c r="I7" s="279"/>
      <c r="J7" s="279"/>
      <c r="K7" s="279"/>
      <c r="L7" s="279"/>
      <c r="M7" s="276"/>
    </row>
    <row r="8" spans="1:13" ht="20.25" customHeight="1">
      <c r="A8" s="224"/>
      <c r="B8" s="228" t="s">
        <v>139</v>
      </c>
      <c r="C8" s="224"/>
      <c r="D8" s="268" t="s">
        <v>174</v>
      </c>
      <c r="E8" s="271">
        <v>295</v>
      </c>
      <c r="F8" s="224"/>
      <c r="G8" s="225">
        <v>22</v>
      </c>
      <c r="H8" s="224"/>
      <c r="I8" s="279"/>
      <c r="J8" s="279"/>
      <c r="K8" s="279"/>
      <c r="L8" s="279"/>
    </row>
    <row r="9" spans="1:13" ht="14.25" customHeight="1">
      <c r="D9" s="268" t="s">
        <v>175</v>
      </c>
      <c r="E9" s="271">
        <v>350</v>
      </c>
      <c r="G9" s="225">
        <v>22</v>
      </c>
      <c r="I9" s="279"/>
      <c r="J9" s="279"/>
      <c r="K9" s="279"/>
      <c r="L9" s="279"/>
    </row>
    <row r="10" spans="1:13" ht="14.25" customHeight="1">
      <c r="B10" s="275" t="s">
        <v>138</v>
      </c>
      <c r="C10" s="227">
        <v>45455</v>
      </c>
      <c r="D10" s="230"/>
      <c r="E10" s="231"/>
      <c r="G10" s="232"/>
      <c r="I10" s="279"/>
      <c r="J10" s="279"/>
      <c r="K10" s="279"/>
      <c r="L10" s="279"/>
    </row>
    <row r="11" spans="1:13" ht="21">
      <c r="D11" s="281" t="s">
        <v>178</v>
      </c>
      <c r="E11" s="282"/>
      <c r="G11" s="233">
        <v>4</v>
      </c>
      <c r="I11" s="279"/>
      <c r="J11" s="279"/>
      <c r="K11" s="279"/>
      <c r="L11" s="279"/>
    </row>
    <row r="12" spans="1:13" ht="33" customHeight="1">
      <c r="D12" s="283" t="s">
        <v>140</v>
      </c>
      <c r="E12" s="283"/>
      <c r="G12" s="272">
        <f>+((E7*G7)+(E8*G8)+(E9*G9))*G11</f>
        <v>71016</v>
      </c>
      <c r="I12" s="279"/>
      <c r="J12" s="279"/>
      <c r="K12" s="279"/>
      <c r="L12" s="279"/>
    </row>
    <row r="15" spans="1:13" ht="15.5">
      <c r="B15" s="234" t="s">
        <v>141</v>
      </c>
    </row>
    <row r="16" spans="1:13" s="234" customFormat="1" ht="31">
      <c r="A16" s="229"/>
      <c r="B16" s="269" t="s">
        <v>142</v>
      </c>
      <c r="C16" s="269" t="s">
        <v>143</v>
      </c>
      <c r="D16" s="269" t="s">
        <v>22</v>
      </c>
      <c r="E16" s="269" t="s">
        <v>171</v>
      </c>
      <c r="F16" s="269" t="s">
        <v>144</v>
      </c>
      <c r="G16" s="269" t="s">
        <v>38</v>
      </c>
      <c r="H16" s="242"/>
      <c r="I16" s="269" t="s">
        <v>145</v>
      </c>
    </row>
    <row r="17" spans="1:9" s="240" customFormat="1" ht="15.5">
      <c r="A17" s="229"/>
      <c r="B17" s="245" t="s">
        <v>181</v>
      </c>
      <c r="C17" s="236">
        <f>+RESUMEN!J6</f>
        <v>8000</v>
      </c>
      <c r="D17" s="236"/>
      <c r="E17" s="236">
        <f ca="1">+RESUMEN!R6</f>
        <v>1466.6666666666667</v>
      </c>
      <c r="F17" s="236">
        <f ca="1">+RESUMEN!W6</f>
        <v>2526.6111704840182</v>
      </c>
      <c r="G17" s="237">
        <f ca="1">(SUM(C17:F17))</f>
        <v>11993.277837150685</v>
      </c>
      <c r="H17" s="264"/>
      <c r="I17" s="229"/>
    </row>
    <row r="18" spans="1:9">
      <c r="B18" s="235"/>
      <c r="C18" s="236"/>
      <c r="D18" s="236"/>
      <c r="E18" s="236"/>
      <c r="F18" s="236"/>
      <c r="G18" s="237">
        <f>(SUM(C18:F18))</f>
        <v>0</v>
      </c>
      <c r="H18" s="264"/>
    </row>
    <row r="19" spans="1:9" ht="33" customHeight="1">
      <c r="B19" s="235"/>
      <c r="C19" s="236"/>
      <c r="D19" s="236"/>
      <c r="E19" s="236"/>
      <c r="F19" s="236"/>
      <c r="G19" s="237">
        <f>(SUM(C19:F19))</f>
        <v>0</v>
      </c>
      <c r="H19" s="264"/>
    </row>
    <row r="20" spans="1:9" ht="18.5">
      <c r="A20" s="234"/>
      <c r="B20" s="239" t="s">
        <v>38</v>
      </c>
      <c r="C20" s="272">
        <f>SUM(C17:C19)</f>
        <v>8000</v>
      </c>
      <c r="D20" s="272">
        <f>SUM(D17:D19)</f>
        <v>0</v>
      </c>
      <c r="E20" s="272">
        <f ca="1">SUM(E17:E19)</f>
        <v>1466.6666666666667</v>
      </c>
      <c r="F20" s="272">
        <f ca="1">SUM(F17:F19)</f>
        <v>2526.6111704840182</v>
      </c>
      <c r="G20" s="272">
        <f ca="1">SUM(G17:G19)</f>
        <v>11993.277837150685</v>
      </c>
      <c r="H20" s="265"/>
      <c r="I20" s="272">
        <f ca="1">+G20</f>
        <v>11993.277837150685</v>
      </c>
    </row>
    <row r="21" spans="1:9" ht="15.5">
      <c r="A21" s="240"/>
      <c r="B21" s="234"/>
      <c r="C21" s="241"/>
      <c r="D21" s="241"/>
      <c r="E21" s="241"/>
      <c r="F21" s="241"/>
      <c r="G21" s="241"/>
      <c r="H21" s="240"/>
      <c r="I21" s="240"/>
    </row>
    <row r="22" spans="1:9" ht="15.5">
      <c r="B22" s="234" t="s">
        <v>146</v>
      </c>
    </row>
    <row r="23" spans="1:9" s="234" customFormat="1" ht="31">
      <c r="A23" s="229"/>
      <c r="B23" s="269" t="s">
        <v>147</v>
      </c>
      <c r="C23" s="269" t="s">
        <v>148</v>
      </c>
      <c r="D23" s="269" t="s">
        <v>149</v>
      </c>
      <c r="E23" s="269" t="s">
        <v>150</v>
      </c>
      <c r="F23" s="269" t="s">
        <v>151</v>
      </c>
      <c r="G23" s="269" t="s">
        <v>38</v>
      </c>
      <c r="H23" s="267"/>
      <c r="I23" s="269" t="s">
        <v>152</v>
      </c>
    </row>
    <row r="24" spans="1:9">
      <c r="B24" s="235" t="s">
        <v>173</v>
      </c>
      <c r="C24" s="236">
        <v>666.66666666666663</v>
      </c>
      <c r="D24" s="236">
        <v>500</v>
      </c>
      <c r="E24" s="236">
        <v>100</v>
      </c>
      <c r="F24" s="236">
        <v>100</v>
      </c>
      <c r="G24" s="236">
        <f>SUM(C24:F24)</f>
        <v>1366.6666666666665</v>
      </c>
      <c r="H24" s="266"/>
    </row>
    <row r="25" spans="1:9">
      <c r="B25" s="235"/>
      <c r="C25" s="236"/>
      <c r="D25" s="236"/>
      <c r="E25" s="236"/>
      <c r="F25" s="236"/>
      <c r="G25" s="236">
        <f>SUM(C25:F25)</f>
        <v>0</v>
      </c>
      <c r="H25" s="266"/>
    </row>
    <row r="26" spans="1:9" ht="21" customHeight="1">
      <c r="B26" s="235"/>
      <c r="C26" s="236"/>
      <c r="D26" s="236"/>
      <c r="E26" s="236"/>
      <c r="F26" s="236"/>
      <c r="G26" s="236">
        <f>SUM(C26:F26)</f>
        <v>0</v>
      </c>
      <c r="H26" s="266"/>
    </row>
    <row r="27" spans="1:9" ht="13" customHeight="1">
      <c r="A27" s="234"/>
      <c r="B27" s="239" t="s">
        <v>38</v>
      </c>
      <c r="C27" s="272">
        <f>SUM(C24:C26)</f>
        <v>666.66666666666663</v>
      </c>
      <c r="D27" s="272">
        <f>SUM(D24:D26)</f>
        <v>500</v>
      </c>
      <c r="E27" s="272">
        <f>SUM(E24:E26)</f>
        <v>100</v>
      </c>
      <c r="F27" s="272">
        <f>SUM(F24:F26)</f>
        <v>100</v>
      </c>
      <c r="G27" s="272">
        <f>SUM(G24:G26)</f>
        <v>1366.6666666666665</v>
      </c>
      <c r="H27" s="265"/>
      <c r="I27" s="272">
        <f>+G27</f>
        <v>1366.6666666666665</v>
      </c>
    </row>
    <row r="28" spans="1:9">
      <c r="D28" s="231"/>
    </row>
    <row r="29" spans="1:9" ht="15.5">
      <c r="B29" s="234" t="s">
        <v>153</v>
      </c>
      <c r="C29" s="243"/>
      <c r="D29" s="243"/>
      <c r="E29" s="243"/>
      <c r="F29" s="244"/>
      <c r="G29" s="244"/>
      <c r="H29" s="244"/>
    </row>
    <row r="30" spans="1:9" ht="15.5">
      <c r="B30" s="303" t="s">
        <v>142</v>
      </c>
      <c r="C30" s="269" t="s">
        <v>154</v>
      </c>
      <c r="D30" s="269" t="s">
        <v>155</v>
      </c>
      <c r="E30" s="269" t="s">
        <v>156</v>
      </c>
      <c r="F30" s="269" t="s">
        <v>157</v>
      </c>
      <c r="G30" s="303" t="s">
        <v>79</v>
      </c>
      <c r="H30" s="267"/>
      <c r="I30" s="303" t="s">
        <v>158</v>
      </c>
    </row>
    <row r="31" spans="1:9" ht="15.5">
      <c r="B31" s="304"/>
      <c r="C31" s="270" t="s">
        <v>179</v>
      </c>
      <c r="D31" s="270" t="s">
        <v>179</v>
      </c>
      <c r="E31" s="270" t="s">
        <v>179</v>
      </c>
      <c r="F31" s="270" t="s">
        <v>179</v>
      </c>
      <c r="G31" s="304"/>
      <c r="H31" s="267"/>
      <c r="I31" s="304"/>
    </row>
    <row r="32" spans="1:9">
      <c r="B32" s="245" t="s">
        <v>159</v>
      </c>
      <c r="C32" s="236"/>
      <c r="D32" s="236"/>
      <c r="E32" s="236"/>
      <c r="F32" s="236"/>
      <c r="G32" s="236">
        <f t="shared" ref="G32:G37" si="0">SUM(C32:F32)</f>
        <v>0</v>
      </c>
    </row>
    <row r="33" spans="1:9">
      <c r="B33" s="245" t="s">
        <v>172</v>
      </c>
      <c r="C33" s="236">
        <f>150*C31</f>
        <v>3300</v>
      </c>
      <c r="D33" s="236">
        <f t="shared" ref="D33:F33" si="1">150*D31</f>
        <v>3300</v>
      </c>
      <c r="E33" s="236">
        <f t="shared" si="1"/>
        <v>3300</v>
      </c>
      <c r="F33" s="236">
        <f t="shared" si="1"/>
        <v>3300</v>
      </c>
      <c r="G33" s="236">
        <f t="shared" si="0"/>
        <v>13200</v>
      </c>
    </row>
    <row r="34" spans="1:9" s="234" customFormat="1" ht="15.5">
      <c r="A34" s="229"/>
      <c r="B34" s="245" t="s">
        <v>160</v>
      </c>
      <c r="C34" s="236">
        <f>250*C31</f>
        <v>5500</v>
      </c>
      <c r="D34" s="236">
        <f t="shared" ref="D34:F34" si="2">250*D31</f>
        <v>5500</v>
      </c>
      <c r="E34" s="236">
        <f t="shared" si="2"/>
        <v>5500</v>
      </c>
      <c r="F34" s="236">
        <f t="shared" si="2"/>
        <v>5500</v>
      </c>
      <c r="G34" s="236">
        <f t="shared" si="0"/>
        <v>22000</v>
      </c>
      <c r="H34" s="229"/>
      <c r="I34" s="229"/>
    </row>
    <row r="35" spans="1:9">
      <c r="B35" s="245" t="s">
        <v>161</v>
      </c>
      <c r="C35" s="236">
        <v>100</v>
      </c>
      <c r="D35" s="236">
        <v>100</v>
      </c>
      <c r="E35" s="236">
        <v>100</v>
      </c>
      <c r="F35" s="236">
        <v>100</v>
      </c>
      <c r="G35" s="236">
        <f t="shared" si="0"/>
        <v>400</v>
      </c>
    </row>
    <row r="36" spans="1:9" ht="17.5" customHeight="1">
      <c r="B36" s="245" t="s">
        <v>162</v>
      </c>
      <c r="C36" s="236"/>
      <c r="D36" s="236"/>
      <c r="E36" s="236"/>
      <c r="F36" s="236"/>
      <c r="G36" s="236">
        <f t="shared" si="0"/>
        <v>0</v>
      </c>
    </row>
    <row r="37" spans="1:9" ht="17.5" customHeight="1">
      <c r="B37" s="245" t="s">
        <v>163</v>
      </c>
      <c r="C37" s="236"/>
      <c r="D37" s="236"/>
      <c r="E37" s="236"/>
      <c r="F37" s="236"/>
      <c r="G37" s="236">
        <f t="shared" si="0"/>
        <v>0</v>
      </c>
    </row>
    <row r="38" spans="1:9" ht="17.5" customHeight="1">
      <c r="A38" s="234"/>
      <c r="B38" s="239" t="s">
        <v>38</v>
      </c>
      <c r="C38" s="272">
        <f>SUM(C32:C37)</f>
        <v>8900</v>
      </c>
      <c r="D38" s="272">
        <f t="shared" ref="D38:F38" si="3">SUM(D32:D37)</f>
        <v>8900</v>
      </c>
      <c r="E38" s="272">
        <f t="shared" si="3"/>
        <v>8900</v>
      </c>
      <c r="F38" s="272">
        <f t="shared" si="3"/>
        <v>8900</v>
      </c>
      <c r="G38" s="272">
        <f>SUM(G32:G37)</f>
        <v>35600</v>
      </c>
      <c r="H38" s="265"/>
      <c r="I38" s="272">
        <f>+G38</f>
        <v>35600</v>
      </c>
    </row>
    <row r="39" spans="1:9" ht="17.5" customHeight="1">
      <c r="I39" s="247"/>
    </row>
    <row r="40" spans="1:9" ht="10" customHeight="1">
      <c r="G40" s="248"/>
      <c r="H40" s="248"/>
      <c r="I40" s="248"/>
    </row>
    <row r="41" spans="1:9" ht="17.5" customHeight="1">
      <c r="B41" s="250"/>
      <c r="C41" s="299" t="s">
        <v>23</v>
      </c>
      <c r="D41" s="300"/>
      <c r="E41" s="301"/>
      <c r="I41" s="248"/>
    </row>
    <row r="42" spans="1:9" ht="9" customHeight="1">
      <c r="I42" s="248"/>
    </row>
    <row r="43" spans="1:9" ht="17.5" customHeight="1">
      <c r="C43" s="249" t="s">
        <v>79</v>
      </c>
      <c r="D43" s="272">
        <f ca="1">+I38+I27+I20</f>
        <v>48959.944503817351</v>
      </c>
      <c r="E43" s="274">
        <f ca="1">+D43/G12</f>
        <v>0.68942132060123562</v>
      </c>
      <c r="I43" s="251"/>
    </row>
    <row r="44" spans="1:9" ht="11.5" customHeight="1">
      <c r="C44" s="222"/>
      <c r="D44" s="246"/>
      <c r="E44" s="246"/>
    </row>
    <row r="45" spans="1:9" ht="17.5" customHeight="1">
      <c r="C45" s="249" t="s">
        <v>164</v>
      </c>
      <c r="D45" s="272">
        <f>+G12</f>
        <v>71016</v>
      </c>
      <c r="E45" s="246"/>
    </row>
    <row r="46" spans="1:9" ht="17.5" customHeight="1">
      <c r="B46" s="250"/>
      <c r="C46" s="252"/>
      <c r="E46" s="246"/>
    </row>
    <row r="47" spans="1:9" ht="17.5" customHeight="1">
      <c r="C47" s="253" t="s">
        <v>165</v>
      </c>
      <c r="D47" s="273">
        <f ca="1">+D45-D43</f>
        <v>22056.055496182649</v>
      </c>
      <c r="E47" s="254">
        <f ca="1">+D47/D45</f>
        <v>0.31057867939876438</v>
      </c>
    </row>
    <row r="48" spans="1:9" ht="17.5" customHeight="1">
      <c r="C48" s="222"/>
      <c r="E48" s="246"/>
    </row>
    <row r="49" spans="2:9" ht="17.5" customHeight="1">
      <c r="C49" s="253" t="s">
        <v>166</v>
      </c>
      <c r="D49" s="254" t="str">
        <f ca="1">IF(E47&gt;=30%,"VIABLE","NO VIABLE")</f>
        <v>VIABLE</v>
      </c>
    </row>
    <row r="50" spans="2:9" ht="17.5" customHeight="1">
      <c r="D50" s="255"/>
    </row>
    <row r="51" spans="2:9">
      <c r="B51" s="250"/>
      <c r="D51" s="255"/>
    </row>
    <row r="52" spans="2:9" ht="17.5" customHeight="1">
      <c r="C52" s="222"/>
      <c r="D52" s="256"/>
      <c r="E52" s="256"/>
    </row>
    <row r="53" spans="2:9" ht="17.5" customHeight="1">
      <c r="C53" s="257"/>
      <c r="D53" s="238"/>
      <c r="E53" s="258"/>
    </row>
    <row r="54" spans="2:9" ht="17.5" customHeight="1">
      <c r="B54" s="250"/>
      <c r="D54" s="255"/>
      <c r="G54" s="259"/>
      <c r="H54" s="260"/>
      <c r="I54" s="260"/>
    </row>
    <row r="55" spans="2:9" ht="17.5" customHeight="1">
      <c r="C55" s="222"/>
      <c r="D55" s="256"/>
      <c r="E55" s="256"/>
      <c r="G55" s="259"/>
      <c r="H55" s="260"/>
      <c r="I55" s="260"/>
    </row>
    <row r="56" spans="2:9" ht="17.5" customHeight="1">
      <c r="C56" s="257"/>
      <c r="D56" s="221"/>
      <c r="E56" s="258"/>
      <c r="G56" s="259"/>
      <c r="H56" s="260"/>
      <c r="I56" s="260"/>
    </row>
    <row r="57" spans="2:9" ht="17.5" customHeight="1">
      <c r="G57" s="259"/>
      <c r="H57" s="260"/>
      <c r="I57" s="260"/>
    </row>
    <row r="58" spans="2:9">
      <c r="B58" s="250"/>
      <c r="G58" s="259"/>
      <c r="H58" s="260"/>
      <c r="I58" s="260"/>
    </row>
    <row r="59" spans="2:9" ht="17.5" customHeight="1">
      <c r="C59" s="222"/>
      <c r="D59" s="256"/>
      <c r="E59" s="256"/>
      <c r="H59" s="261"/>
      <c r="I59" s="261"/>
    </row>
    <row r="60" spans="2:9" ht="17.5" customHeight="1">
      <c r="D60" s="255"/>
      <c r="E60" s="258"/>
    </row>
    <row r="61" spans="2:9" ht="18" customHeight="1">
      <c r="D61" s="255"/>
    </row>
    <row r="62" spans="2:9">
      <c r="B62" s="250"/>
      <c r="D62" s="255"/>
      <c r="E62" s="255"/>
    </row>
    <row r="63" spans="2:9">
      <c r="C63" s="256"/>
      <c r="D63" s="256"/>
      <c r="E63" s="256"/>
    </row>
    <row r="64" spans="2:9" ht="18.5">
      <c r="E64" s="258"/>
    </row>
    <row r="65" spans="1:7">
      <c r="B65" s="250"/>
      <c r="D65" s="255"/>
    </row>
    <row r="66" spans="1:7">
      <c r="C66" s="222"/>
      <c r="D66" s="256"/>
      <c r="E66" s="256"/>
    </row>
    <row r="67" spans="1:7" ht="15" customHeight="1">
      <c r="E67" s="258"/>
    </row>
    <row r="68" spans="1:7">
      <c r="A68" s="222"/>
      <c r="B68" s="262"/>
    </row>
    <row r="69" spans="1:7">
      <c r="B69" s="250"/>
      <c r="D69" s="255"/>
    </row>
    <row r="70" spans="1:7">
      <c r="B70" s="230"/>
      <c r="C70" s="222"/>
      <c r="D70" s="256"/>
      <c r="E70" s="256"/>
      <c r="F70" s="221"/>
      <c r="G70" s="221"/>
    </row>
    <row r="71" spans="1:7" ht="18.5">
      <c r="E71" s="258"/>
      <c r="F71" s="222"/>
      <c r="G71" s="302"/>
    </row>
    <row r="72" spans="1:7">
      <c r="B72" s="222"/>
      <c r="C72" s="221"/>
      <c r="D72" s="221"/>
      <c r="E72" s="222"/>
      <c r="F72" s="222"/>
      <c r="G72" s="302"/>
    </row>
    <row r="73" spans="1:7">
      <c r="B73" s="222"/>
      <c r="C73" s="221"/>
      <c r="D73" s="221"/>
      <c r="E73" s="222"/>
      <c r="F73" s="222"/>
      <c r="G73" s="302"/>
    </row>
    <row r="74" spans="1:7">
      <c r="B74" s="263" t="s">
        <v>167</v>
      </c>
      <c r="C74" s="314" t="s">
        <v>168</v>
      </c>
      <c r="D74" s="315"/>
      <c r="E74" s="316" t="s">
        <v>169</v>
      </c>
      <c r="F74" s="316"/>
      <c r="G74" s="263" t="s">
        <v>170</v>
      </c>
    </row>
    <row r="75" spans="1:7">
      <c r="B75" s="305"/>
      <c r="C75" s="308"/>
      <c r="D75" s="309"/>
      <c r="E75" s="280"/>
      <c r="F75" s="280"/>
      <c r="G75" s="280"/>
    </row>
    <row r="76" spans="1:7">
      <c r="B76" s="306"/>
      <c r="C76" s="310"/>
      <c r="D76" s="311"/>
      <c r="E76" s="280"/>
      <c r="F76" s="280"/>
      <c r="G76" s="280"/>
    </row>
    <row r="77" spans="1:7">
      <c r="B77" s="306"/>
      <c r="C77" s="310"/>
      <c r="D77" s="311"/>
      <c r="E77" s="280"/>
      <c r="F77" s="280"/>
      <c r="G77" s="280"/>
    </row>
    <row r="78" spans="1:7">
      <c r="B78" s="307"/>
      <c r="C78" s="312"/>
      <c r="D78" s="313"/>
      <c r="E78" s="280"/>
      <c r="F78" s="280"/>
      <c r="G78" s="280"/>
    </row>
  </sheetData>
  <mergeCells count="19">
    <mergeCell ref="C41:E41"/>
    <mergeCell ref="G71:G73"/>
    <mergeCell ref="I30:I31"/>
    <mergeCell ref="B75:B78"/>
    <mergeCell ref="C75:D78"/>
    <mergeCell ref="E75:F78"/>
    <mergeCell ref="G75:G78"/>
    <mergeCell ref="G30:G31"/>
    <mergeCell ref="B30:B31"/>
    <mergeCell ref="C74:D74"/>
    <mergeCell ref="E74:F74"/>
    <mergeCell ref="I6:L12"/>
    <mergeCell ref="A1:B4"/>
    <mergeCell ref="D11:E11"/>
    <mergeCell ref="D12:E12"/>
    <mergeCell ref="C1:F4"/>
    <mergeCell ref="G1:G4"/>
    <mergeCell ref="H1:H4"/>
    <mergeCell ref="I1:I4"/>
  </mergeCells>
  <phoneticPr fontId="65" type="noConversion"/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B24"/>
  <sheetViews>
    <sheetView showGridLines="0" tabSelected="1" zoomScale="85" zoomScaleNormal="85" workbookViewId="0">
      <selection activeCell="C13" sqref="B13:C18"/>
    </sheetView>
  </sheetViews>
  <sheetFormatPr baseColWidth="10" defaultColWidth="8.06640625" defaultRowHeight="15.5"/>
  <cols>
    <col min="1" max="1" width="19.19921875" style="168" customWidth="1"/>
    <col min="2" max="2" width="12.73046875" style="168" bestFit="1" customWidth="1"/>
    <col min="3" max="3" width="10.06640625" style="168" customWidth="1"/>
    <col min="4" max="4" width="7.19921875" style="168" customWidth="1"/>
    <col min="5" max="5" width="7.73046875" style="168" customWidth="1"/>
    <col min="6" max="6" width="6.796875" style="168" customWidth="1"/>
    <col min="7" max="7" width="6.59765625" style="168" customWidth="1"/>
    <col min="8" max="8" width="6.19921875" style="168" customWidth="1"/>
    <col min="9" max="9" width="6.9296875" style="168" customWidth="1"/>
    <col min="10" max="10" width="6.06640625" style="168" customWidth="1"/>
    <col min="11" max="11" width="6.59765625" style="168" customWidth="1"/>
    <col min="12" max="12" width="7.33203125" style="168" customWidth="1"/>
    <col min="13" max="13" width="8" style="168" customWidth="1"/>
    <col min="14" max="14" width="8.33203125" style="168" customWidth="1"/>
    <col min="15" max="17" width="8" style="168" customWidth="1"/>
    <col min="18" max="18" width="8.73046875" style="168" customWidth="1"/>
    <col min="19" max="21" width="9.33203125" style="168" customWidth="1"/>
    <col min="22" max="22" width="8" style="168" customWidth="1"/>
    <col min="23" max="23" width="8.46484375" style="168" customWidth="1"/>
    <col min="24" max="24" width="9.06640625" style="168" customWidth="1"/>
    <col min="25" max="25" width="13.06640625" style="168" customWidth="1"/>
    <col min="26" max="26" width="8.06640625" style="167" customWidth="1"/>
    <col min="27" max="262" width="8.06640625" style="168" customWidth="1"/>
    <col min="263" max="16384" width="8.06640625" style="169"/>
  </cols>
  <sheetData>
    <row r="1" spans="1:262" ht="21">
      <c r="A1" s="164"/>
      <c r="B1" s="165"/>
      <c r="C1" s="165"/>
      <c r="D1" s="165"/>
      <c r="E1" s="165"/>
      <c r="F1" s="165"/>
      <c r="G1" s="165"/>
      <c r="H1" s="165"/>
      <c r="I1" s="165"/>
      <c r="J1" s="166"/>
      <c r="K1" s="166" t="s">
        <v>116</v>
      </c>
      <c r="L1" s="166"/>
      <c r="M1" s="166"/>
      <c r="N1" s="166"/>
      <c r="O1" s="166" t="s">
        <v>115</v>
      </c>
      <c r="P1" s="163">
        <v>108.57</v>
      </c>
      <c r="Q1" s="163">
        <v>108.57</v>
      </c>
      <c r="R1" s="166"/>
      <c r="S1" s="166"/>
      <c r="T1" s="166"/>
      <c r="U1" s="166"/>
      <c r="V1" s="166"/>
      <c r="W1" s="166"/>
      <c r="X1" s="166"/>
      <c r="Y1" s="166"/>
    </row>
    <row r="2" spans="1:262" ht="21">
      <c r="A2" s="170" t="s">
        <v>121</v>
      </c>
      <c r="B2" s="171"/>
      <c r="C2" s="171"/>
      <c r="D2" s="171"/>
      <c r="E2" s="171"/>
      <c r="F2" s="171"/>
      <c r="G2" s="171"/>
      <c r="H2" s="171"/>
      <c r="I2" s="171"/>
      <c r="J2" s="172"/>
      <c r="K2" s="172" t="s">
        <v>119</v>
      </c>
      <c r="L2" s="201">
        <f>+P1*25</f>
        <v>2714.25</v>
      </c>
      <c r="M2" s="199" t="s">
        <v>117</v>
      </c>
      <c r="N2" s="200">
        <f>+P1*30*40%</f>
        <v>1302.8400000000001</v>
      </c>
      <c r="O2" s="172"/>
      <c r="P2" s="173"/>
      <c r="Q2" s="173"/>
      <c r="R2" s="172"/>
      <c r="S2" s="172"/>
      <c r="T2" s="172"/>
      <c r="U2" s="172"/>
      <c r="V2" s="172"/>
      <c r="W2" s="172"/>
      <c r="X2" s="172"/>
      <c r="Y2" s="172"/>
    </row>
    <row r="3" spans="1:262" ht="21">
      <c r="A3" s="174"/>
      <c r="B3" s="175"/>
      <c r="C3" s="175"/>
      <c r="D3" s="198" t="s">
        <v>114</v>
      </c>
      <c r="E3" s="176">
        <f ca="1">+TODAY()</f>
        <v>45846</v>
      </c>
      <c r="F3" s="175"/>
      <c r="G3" s="175"/>
      <c r="H3" s="175"/>
      <c r="I3" s="175"/>
      <c r="J3" s="177"/>
      <c r="K3" s="177"/>
      <c r="L3" s="177"/>
      <c r="M3" s="199" t="s">
        <v>118</v>
      </c>
      <c r="N3" s="200">
        <f>+P1*30</f>
        <v>3257.1</v>
      </c>
      <c r="O3" s="177"/>
      <c r="P3" s="178">
        <v>0.1</v>
      </c>
      <c r="Q3" s="178"/>
      <c r="R3" s="177"/>
      <c r="S3" s="177"/>
      <c r="T3" s="177"/>
      <c r="U3" s="177"/>
      <c r="V3" s="177"/>
      <c r="W3" s="177"/>
      <c r="X3" s="177"/>
      <c r="Y3" s="177"/>
    </row>
    <row r="4" spans="1:262" ht="15.75" customHeight="1">
      <c r="A4" s="320" t="s">
        <v>98</v>
      </c>
      <c r="B4" s="320" t="s">
        <v>31</v>
      </c>
      <c r="C4" s="317" t="s">
        <v>112</v>
      </c>
      <c r="D4" s="317" t="s">
        <v>111</v>
      </c>
      <c r="E4" s="317" t="s">
        <v>113</v>
      </c>
      <c r="F4" s="320" t="s">
        <v>99</v>
      </c>
      <c r="G4" s="320" t="s">
        <v>101</v>
      </c>
      <c r="H4" s="320" t="s">
        <v>14</v>
      </c>
      <c r="I4" s="320" t="s">
        <v>100</v>
      </c>
      <c r="J4" s="320" t="s">
        <v>32</v>
      </c>
      <c r="K4" s="320" t="s">
        <v>33</v>
      </c>
      <c r="L4" s="320" t="s">
        <v>34</v>
      </c>
      <c r="M4" s="320" t="s">
        <v>12</v>
      </c>
      <c r="N4" s="320" t="s">
        <v>13</v>
      </c>
      <c r="O4" s="323" t="s">
        <v>14</v>
      </c>
      <c r="P4" s="317" t="s">
        <v>96</v>
      </c>
      <c r="Q4" s="317" t="s">
        <v>102</v>
      </c>
      <c r="R4" s="317" t="s">
        <v>35</v>
      </c>
      <c r="S4" s="325" t="s">
        <v>36</v>
      </c>
      <c r="T4" s="325" t="s">
        <v>18</v>
      </c>
      <c r="U4" s="325" t="s">
        <v>19</v>
      </c>
      <c r="V4" s="159">
        <v>0.03</v>
      </c>
      <c r="W4" s="317" t="s">
        <v>37</v>
      </c>
      <c r="X4" s="159">
        <v>0</v>
      </c>
      <c r="Y4" s="325" t="s">
        <v>38</v>
      </c>
    </row>
    <row r="5" spans="1:262" ht="24">
      <c r="A5" s="321"/>
      <c r="B5" s="322"/>
      <c r="C5" s="324"/>
      <c r="D5" s="324"/>
      <c r="E5" s="319"/>
      <c r="F5" s="320"/>
      <c r="G5" s="320"/>
      <c r="H5" s="320"/>
      <c r="I5" s="320"/>
      <c r="J5" s="321"/>
      <c r="K5" s="321"/>
      <c r="L5" s="321"/>
      <c r="M5" s="321"/>
      <c r="N5" s="320"/>
      <c r="O5" s="323"/>
      <c r="P5" s="319"/>
      <c r="Q5" s="318"/>
      <c r="R5" s="318"/>
      <c r="S5" s="326"/>
      <c r="T5" s="326"/>
      <c r="U5" s="326"/>
      <c r="V5" s="157" t="s">
        <v>39</v>
      </c>
      <c r="W5" s="318"/>
      <c r="X5" s="158" t="s">
        <v>97</v>
      </c>
      <c r="Y5" s="326"/>
    </row>
    <row r="6" spans="1:262" s="184" customFormat="1" ht="18" customHeight="1">
      <c r="A6" s="179"/>
      <c r="B6" s="180"/>
      <c r="C6" s="219">
        <v>45313</v>
      </c>
      <c r="D6" s="181">
        <f ca="1">+($E$3-C6)/365</f>
        <v>1.4602739726027398</v>
      </c>
      <c r="E6" s="180">
        <f ca="1">+ROUND(D6,0)</f>
        <v>1</v>
      </c>
      <c r="F6" s="160">
        <f ca="1">+VLOOKUP(E6,'TABLA VAC'!$B$5:$F$35,2,0)</f>
        <v>12</v>
      </c>
      <c r="G6" s="161">
        <v>0.25</v>
      </c>
      <c r="H6" s="160">
        <v>15</v>
      </c>
      <c r="I6" s="162">
        <f ca="1">+VLOOKUP(E6,'TABLA VAC'!$B$5:$F$35,5,0)</f>
        <v>4.9315068493150684E-2</v>
      </c>
      <c r="J6" s="212">
        <v>8000</v>
      </c>
      <c r="K6" s="212">
        <f>J6/30</f>
        <v>266.66666666666669</v>
      </c>
      <c r="L6" s="212">
        <f ca="1">IF((K6*I6+K6)&gt;$P$1*25,$P$1*25,(K6*I6+K6))</f>
        <v>279.81735159817356</v>
      </c>
      <c r="M6" s="212">
        <f ca="1">(K6*F6)/12</f>
        <v>266.66666666666669</v>
      </c>
      <c r="N6" s="212">
        <f ca="1">(K6*F6*G6)/12</f>
        <v>66.666666666666671</v>
      </c>
      <c r="O6" s="212">
        <f>(K6*H6)/12</f>
        <v>333.33333333333337</v>
      </c>
      <c r="P6" s="212">
        <f>IF((J6*$P$3)&gt;$N$2,$N$2,(J6*$P$3))</f>
        <v>800</v>
      </c>
      <c r="Q6" s="212">
        <f>IF(J6*$Q$3&gt;($Q$1*10*13%*30),($Q$1*10*13%*30),K6*$Q$3)</f>
        <v>0</v>
      </c>
      <c r="R6" s="212">
        <f ca="1">SUM(M6:Q6)</f>
        <v>1466.6666666666667</v>
      </c>
      <c r="S6" s="212">
        <f ca="1">(IMSS!R15)</f>
        <v>1277.1293805296802</v>
      </c>
      <c r="T6" s="212">
        <f ca="1">(INFONAVIT!G16+INFONAVIT!H16)</f>
        <v>540.15941552511413</v>
      </c>
      <c r="U6" s="212">
        <f ca="1">(INFONAVIT!K16)</f>
        <v>425.32237442922383</v>
      </c>
      <c r="V6" s="212">
        <f ca="1">(J6+R6)*$V$4</f>
        <v>283.99999999999994</v>
      </c>
      <c r="W6" s="212">
        <f ca="1">SUM(S6:V6)</f>
        <v>2526.6111704840182</v>
      </c>
      <c r="X6" s="213">
        <f ca="1">(J6+R6+W6)*$X$4</f>
        <v>0</v>
      </c>
      <c r="Y6" s="213">
        <f ca="1">(J6+R6+W6+X6)</f>
        <v>11993.277837150685</v>
      </c>
      <c r="Z6" s="182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  <c r="EC6" s="183"/>
      <c r="ED6" s="183"/>
      <c r="EE6" s="183"/>
      <c r="EF6" s="183"/>
      <c r="EG6" s="183"/>
      <c r="EH6" s="183"/>
      <c r="EI6" s="183"/>
      <c r="EJ6" s="183"/>
      <c r="EK6" s="183"/>
      <c r="EL6" s="183"/>
      <c r="EM6" s="183"/>
      <c r="EN6" s="183"/>
      <c r="EO6" s="183"/>
      <c r="EP6" s="183"/>
      <c r="EQ6" s="183"/>
      <c r="ER6" s="183"/>
      <c r="ES6" s="183"/>
      <c r="ET6" s="183"/>
      <c r="EU6" s="183"/>
      <c r="EV6" s="183"/>
      <c r="EW6" s="183"/>
      <c r="EX6" s="183"/>
      <c r="EY6" s="183"/>
      <c r="EZ6" s="183"/>
      <c r="FA6" s="183"/>
      <c r="FB6" s="183"/>
      <c r="FC6" s="183"/>
      <c r="FD6" s="183"/>
      <c r="FE6" s="183"/>
      <c r="FF6" s="183"/>
      <c r="FG6" s="183"/>
      <c r="FH6" s="183"/>
      <c r="FI6" s="183"/>
      <c r="FJ6" s="183"/>
      <c r="FK6" s="183"/>
      <c r="FL6" s="183"/>
      <c r="FM6" s="183"/>
      <c r="FN6" s="183"/>
      <c r="FO6" s="183"/>
      <c r="FP6" s="183"/>
      <c r="FQ6" s="183"/>
      <c r="FR6" s="183"/>
      <c r="FS6" s="183"/>
      <c r="FT6" s="183"/>
      <c r="FU6" s="183"/>
      <c r="FV6" s="183"/>
      <c r="FW6" s="183"/>
      <c r="FX6" s="183"/>
      <c r="FY6" s="183"/>
      <c r="FZ6" s="183"/>
      <c r="GA6" s="183"/>
      <c r="GB6" s="183"/>
      <c r="GC6" s="183"/>
      <c r="GD6" s="183"/>
      <c r="GE6" s="183"/>
      <c r="GF6" s="183"/>
      <c r="GG6" s="183"/>
      <c r="GH6" s="183"/>
      <c r="GI6" s="183"/>
      <c r="GJ6" s="183"/>
      <c r="GK6" s="183"/>
      <c r="GL6" s="183"/>
      <c r="GM6" s="183"/>
      <c r="GN6" s="183"/>
      <c r="GO6" s="183"/>
      <c r="GP6" s="183"/>
      <c r="GQ6" s="183"/>
      <c r="GR6" s="183"/>
      <c r="GS6" s="183"/>
      <c r="GT6" s="183"/>
      <c r="GU6" s="183"/>
      <c r="GV6" s="183"/>
      <c r="GW6" s="183"/>
      <c r="GX6" s="183"/>
      <c r="GY6" s="183"/>
      <c r="GZ6" s="183"/>
      <c r="HA6" s="183"/>
      <c r="HB6" s="183"/>
      <c r="HC6" s="183"/>
      <c r="HD6" s="183"/>
      <c r="HE6" s="183"/>
      <c r="HF6" s="183"/>
      <c r="HG6" s="183"/>
      <c r="HH6" s="183"/>
      <c r="HI6" s="183"/>
      <c r="HJ6" s="183"/>
      <c r="HK6" s="183"/>
      <c r="HL6" s="183"/>
      <c r="HM6" s="183"/>
      <c r="HN6" s="183"/>
      <c r="HO6" s="183"/>
      <c r="HP6" s="183"/>
      <c r="HQ6" s="183"/>
      <c r="HR6" s="183"/>
      <c r="HS6" s="183"/>
      <c r="HT6" s="183"/>
      <c r="HU6" s="183"/>
      <c r="HV6" s="183"/>
      <c r="HW6" s="183"/>
      <c r="HX6" s="183"/>
      <c r="HY6" s="183"/>
      <c r="HZ6" s="183"/>
      <c r="IA6" s="183"/>
      <c r="IB6" s="183"/>
      <c r="IC6" s="183"/>
      <c r="ID6" s="183"/>
      <c r="IE6" s="183"/>
      <c r="IF6" s="183"/>
      <c r="IG6" s="183"/>
      <c r="IH6" s="183"/>
      <c r="II6" s="183"/>
      <c r="IJ6" s="183"/>
      <c r="IK6" s="183"/>
      <c r="IL6" s="183"/>
      <c r="IM6" s="183"/>
      <c r="IN6" s="183"/>
      <c r="IO6" s="183"/>
      <c r="IP6" s="183"/>
      <c r="IQ6" s="183"/>
      <c r="IR6" s="183"/>
      <c r="IS6" s="183"/>
      <c r="IT6" s="183"/>
      <c r="IU6" s="183"/>
      <c r="IV6" s="183"/>
      <c r="IW6" s="183"/>
      <c r="IX6" s="183"/>
      <c r="IY6" s="183"/>
      <c r="IZ6" s="183"/>
      <c r="JA6" s="183"/>
      <c r="JB6" s="183"/>
    </row>
    <row r="7" spans="1:262">
      <c r="K7" s="190"/>
      <c r="L7" s="187"/>
      <c r="Q7" s="185"/>
      <c r="R7" s="183"/>
      <c r="S7" s="183"/>
    </row>
    <row r="8" spans="1:262">
      <c r="H8" s="186"/>
      <c r="K8" s="220"/>
      <c r="L8" s="187"/>
      <c r="Q8" s="182"/>
      <c r="R8" s="191"/>
      <c r="S8" s="183"/>
    </row>
    <row r="9" spans="1:262">
      <c r="B9" s="188"/>
      <c r="C9" s="188"/>
      <c r="D9" s="188"/>
      <c r="E9" s="188"/>
      <c r="H9" s="186"/>
      <c r="K9" s="192"/>
      <c r="L9" s="187"/>
      <c r="Q9" s="182"/>
      <c r="R9" s="183"/>
      <c r="S9" s="183"/>
    </row>
    <row r="10" spans="1:262">
      <c r="H10" s="186"/>
      <c r="K10" s="183"/>
      <c r="L10" s="187"/>
      <c r="Q10" s="167"/>
    </row>
    <row r="11" spans="1:262">
      <c r="B11" s="193"/>
      <c r="C11" s="193"/>
      <c r="D11" s="193"/>
      <c r="E11" s="193"/>
      <c r="H11" s="186"/>
      <c r="K11" s="183"/>
      <c r="L11" s="194"/>
      <c r="Q11" s="195"/>
    </row>
    <row r="12" spans="1:262">
      <c r="B12" s="188"/>
      <c r="C12" s="188"/>
      <c r="D12" s="188"/>
      <c r="E12" s="188"/>
      <c r="H12" s="186"/>
      <c r="K12" s="183"/>
      <c r="L12" s="183"/>
    </row>
    <row r="13" spans="1:262">
      <c r="G13" s="196"/>
      <c r="H13" s="189"/>
    </row>
    <row r="14" spans="1:262">
      <c r="H14" s="169"/>
    </row>
    <row r="15" spans="1:262">
      <c r="H15" s="186"/>
    </row>
    <row r="16" spans="1:262">
      <c r="H16" s="186"/>
    </row>
    <row r="17" spans="2:8">
      <c r="H17" s="186"/>
    </row>
    <row r="18" spans="2:8">
      <c r="H18" s="186"/>
    </row>
    <row r="19" spans="2:8">
      <c r="G19" s="196"/>
      <c r="H19" s="189"/>
    </row>
    <row r="20" spans="2:8">
      <c r="B20" s="188"/>
      <c r="C20" s="188"/>
      <c r="D20" s="188"/>
      <c r="E20" s="188"/>
      <c r="H20" s="167"/>
    </row>
    <row r="21" spans="2:8">
      <c r="G21" s="196"/>
      <c r="H21" s="197"/>
    </row>
    <row r="22" spans="2:8">
      <c r="G22" s="196"/>
      <c r="H22" s="189"/>
    </row>
    <row r="23" spans="2:8">
      <c r="H23" s="167"/>
    </row>
    <row r="24" spans="2:8">
      <c r="G24" s="196"/>
      <c r="H24" s="197"/>
    </row>
  </sheetData>
  <mergeCells count="23">
    <mergeCell ref="Y4:Y5"/>
    <mergeCell ref="R4:R5"/>
    <mergeCell ref="W4:W5"/>
    <mergeCell ref="T4:T5"/>
    <mergeCell ref="S4:S5"/>
    <mergeCell ref="U4:U5"/>
    <mergeCell ref="A4:A5"/>
    <mergeCell ref="B4:B5"/>
    <mergeCell ref="O4:O5"/>
    <mergeCell ref="N4:N5"/>
    <mergeCell ref="M4:M5"/>
    <mergeCell ref="F4:F5"/>
    <mergeCell ref="I4:I5"/>
    <mergeCell ref="H4:H5"/>
    <mergeCell ref="G4:G5"/>
    <mergeCell ref="D4:D5"/>
    <mergeCell ref="C4:C5"/>
    <mergeCell ref="E4:E5"/>
    <mergeCell ref="Q4:Q5"/>
    <mergeCell ref="P4:P5"/>
    <mergeCell ref="L4:L5"/>
    <mergeCell ref="K4:K5"/>
    <mergeCell ref="J4:J5"/>
  </mergeCells>
  <pageMargins left="0.75" right="0.75" top="1" bottom="1" header="0.5" footer="0.5"/>
  <pageSetup orientation="portrait" r:id="rId1"/>
  <headerFooter>
    <oddFooter>&amp;L&amp;"Helvetica,Regular"&amp;11&amp;K000000	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5"/>
  <sheetViews>
    <sheetView showGridLines="0" zoomScale="70" zoomScaleNormal="70" workbookViewId="0">
      <selection activeCell="F14" sqref="F14"/>
    </sheetView>
  </sheetViews>
  <sheetFormatPr baseColWidth="10" defaultColWidth="8.06640625" defaultRowHeight="11.15" customHeight="1"/>
  <cols>
    <col min="1" max="1" width="9.46484375" style="1" customWidth="1"/>
    <col min="2" max="2" width="9.73046875" style="1" customWidth="1"/>
    <col min="3" max="3" width="6.73046875" style="1" customWidth="1"/>
    <col min="4" max="4" width="9.06640625" style="1" bestFit="1" customWidth="1"/>
    <col min="5" max="5" width="6.59765625" style="1" customWidth="1"/>
    <col min="6" max="6" width="6.73046875" style="1" customWidth="1"/>
    <col min="7" max="7" width="7.33203125" style="1" customWidth="1"/>
    <col min="8" max="9" width="7.9296875" style="1" customWidth="1"/>
    <col min="10" max="10" width="7.73046875" style="1" customWidth="1"/>
    <col min="11" max="11" width="6.59765625" style="1" customWidth="1"/>
    <col min="12" max="12" width="6.73046875" style="1" customWidth="1"/>
    <col min="13" max="13" width="7.9296875" style="1" customWidth="1"/>
    <col min="14" max="14" width="8" style="1" customWidth="1"/>
    <col min="15" max="15" width="7.9296875" style="1" customWidth="1"/>
    <col min="16" max="16" width="5.33203125" style="1" customWidth="1"/>
    <col min="17" max="17" width="7" style="1" customWidth="1"/>
    <col min="18" max="18" width="10.73046875" style="1" customWidth="1"/>
    <col min="19" max="19" width="8.33203125" style="1" customWidth="1"/>
    <col min="20" max="20" width="6.9296875" style="1" customWidth="1"/>
    <col min="21" max="23" width="8.59765625" style="1" customWidth="1"/>
    <col min="24" max="24" width="9.33203125" style="1" customWidth="1"/>
    <col min="25" max="34" width="8.59765625" style="1" customWidth="1"/>
    <col min="35" max="256" width="8.06640625" style="1" customWidth="1"/>
  </cols>
  <sheetData>
    <row r="1" spans="1:256" ht="23.25" customHeight="1">
      <c r="A1" s="328" t="s">
        <v>40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</row>
    <row r="2" spans="1:256" ht="15.75" customHeight="1">
      <c r="A2" s="331" t="s">
        <v>120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8"/>
    </row>
    <row r="3" spans="1:256" ht="11.25" customHeight="1">
      <c r="A3" s="43" t="s">
        <v>41</v>
      </c>
      <c r="B3" s="7"/>
      <c r="C3" s="44" t="s">
        <v>42</v>
      </c>
      <c r="D3" s="45"/>
      <c r="E3" s="7"/>
      <c r="F3" s="45"/>
      <c r="G3" s="46" t="s">
        <v>43</v>
      </c>
      <c r="H3" s="7"/>
      <c r="I3" s="47" t="s">
        <v>44</v>
      </c>
      <c r="J3" s="7"/>
      <c r="K3" s="45"/>
      <c r="L3" s="45"/>
      <c r="M3" s="45"/>
      <c r="N3" s="45"/>
      <c r="O3" s="46"/>
      <c r="P3" s="97" t="s">
        <v>45</v>
      </c>
      <c r="Q3" s="330">
        <f ca="1">TODAY()</f>
        <v>45846</v>
      </c>
      <c r="R3" s="330"/>
      <c r="S3" s="330"/>
      <c r="T3" s="45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8"/>
    </row>
    <row r="4" spans="1:256" ht="11.25" customHeight="1">
      <c r="A4" s="43" t="s">
        <v>46</v>
      </c>
      <c r="B4" s="7"/>
      <c r="C4" s="7"/>
      <c r="D4" s="7"/>
      <c r="E4" s="7"/>
      <c r="F4" s="45"/>
      <c r="G4" s="46" t="s">
        <v>47</v>
      </c>
      <c r="H4" s="7"/>
      <c r="I4" s="216">
        <v>2.5984E-2</v>
      </c>
      <c r="J4" s="7"/>
      <c r="K4" s="7"/>
      <c r="L4" s="7"/>
      <c r="M4" s="7"/>
      <c r="N4" s="7"/>
      <c r="O4" s="48" t="s">
        <v>48</v>
      </c>
      <c r="P4" s="49">
        <f>+RESUMEN!P1</f>
        <v>108.57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8"/>
    </row>
    <row r="5" spans="1:256" ht="11.25" customHeight="1">
      <c r="A5" s="43" t="s">
        <v>49</v>
      </c>
      <c r="B5" s="7"/>
      <c r="C5" s="7"/>
      <c r="D5" s="7"/>
      <c r="E5" s="7"/>
      <c r="F5" s="45"/>
      <c r="G5" s="46" t="s">
        <v>50</v>
      </c>
      <c r="H5" s="7"/>
      <c r="I5" s="216">
        <v>5.4355000000000002E-3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8"/>
    </row>
    <row r="6" spans="1:256" ht="11.25" customHeight="1">
      <c r="A6" s="43" t="s">
        <v>51</v>
      </c>
      <c r="B6" s="7"/>
      <c r="C6" s="7"/>
      <c r="D6" s="7"/>
      <c r="E6" s="7"/>
      <c r="F6" s="45"/>
      <c r="G6" s="46" t="s">
        <v>52</v>
      </c>
      <c r="H6" s="7"/>
      <c r="I6" s="215">
        <v>4.6532499999999997E-2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8"/>
    </row>
    <row r="7" spans="1:256" ht="15.75" customHeight="1">
      <c r="A7" s="43" t="s">
        <v>53</v>
      </c>
      <c r="B7" s="50"/>
      <c r="C7" s="46" t="s">
        <v>54</v>
      </c>
      <c r="D7" s="45"/>
      <c r="E7" s="7"/>
      <c r="F7" s="45"/>
      <c r="G7" s="46" t="s">
        <v>55</v>
      </c>
      <c r="H7" s="7"/>
      <c r="I7" s="214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8"/>
    </row>
    <row r="8" spans="1:256" ht="15.5" customHeight="1">
      <c r="A8" s="5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</row>
    <row r="9" spans="1:256" ht="8.25" customHeight="1">
      <c r="A9" s="51"/>
      <c r="B9" s="52"/>
      <c r="C9" s="52"/>
      <c r="D9" s="53"/>
      <c r="E9" s="53"/>
      <c r="F9" s="53"/>
      <c r="G9" s="53"/>
      <c r="H9" s="53"/>
      <c r="I9" s="54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8"/>
    </row>
    <row r="10" spans="1:256" ht="12.75" customHeight="1">
      <c r="A10" s="43" t="s">
        <v>56</v>
      </c>
      <c r="B10" s="7"/>
      <c r="C10" s="7"/>
      <c r="D10" s="44" t="s">
        <v>57</v>
      </c>
      <c r="E10" s="55"/>
      <c r="F10" s="55"/>
      <c r="G10" s="56">
        <v>0.20399999999999999</v>
      </c>
      <c r="H10" s="56">
        <v>1.0999999999999999E-2</v>
      </c>
      <c r="I10" s="56">
        <v>4.0000000000000001E-3</v>
      </c>
      <c r="J10" s="56">
        <v>7.0000000000000001E-3</v>
      </c>
      <c r="K10" s="56">
        <v>2.5000000000000001E-3</v>
      </c>
      <c r="L10" s="56">
        <v>1.0500000000000001E-2</v>
      </c>
      <c r="M10" s="57">
        <v>3.7499999999999999E-3</v>
      </c>
      <c r="N10" s="58">
        <f>I7</f>
        <v>0</v>
      </c>
      <c r="O10" s="56">
        <v>1.7500000000000002E-2</v>
      </c>
      <c r="P10" s="57">
        <v>6.2500000000000003E-3</v>
      </c>
      <c r="Q10" s="56">
        <v>0.01</v>
      </c>
      <c r="R10" s="55"/>
      <c r="S10" s="55"/>
      <c r="T10" s="55"/>
      <c r="U10" s="55"/>
      <c r="V10" s="55"/>
      <c r="W10" s="55"/>
      <c r="X10" s="55"/>
      <c r="Y10" s="55"/>
      <c r="Z10" s="55"/>
      <c r="AA10" s="7"/>
      <c r="AB10" s="7"/>
      <c r="AC10" s="7"/>
      <c r="AD10" s="7"/>
      <c r="AE10" s="7"/>
      <c r="AF10" s="7"/>
      <c r="AG10" s="7"/>
      <c r="AH10" s="8"/>
    </row>
    <row r="11" spans="1:256" ht="12.75" customHeight="1">
      <c r="A11" s="5"/>
      <c r="B11" s="7"/>
      <c r="C11" s="7"/>
      <c r="D11" s="55"/>
      <c r="E11" s="55"/>
      <c r="F11" s="55"/>
      <c r="G11" s="55"/>
      <c r="H11" s="44" t="s">
        <v>58</v>
      </c>
      <c r="I11" s="59"/>
      <c r="J11" s="55"/>
      <c r="K11" s="55"/>
      <c r="L11" s="55"/>
      <c r="M11" s="55"/>
      <c r="N11" s="55"/>
      <c r="O11" s="55"/>
      <c r="P11" s="55"/>
      <c r="Q11" s="55"/>
      <c r="R11" s="333" t="s">
        <v>59</v>
      </c>
      <c r="S11" s="327"/>
      <c r="T11" s="55"/>
      <c r="U11" s="55"/>
      <c r="V11" s="327"/>
      <c r="W11" s="327"/>
      <c r="X11" s="55"/>
      <c r="Y11" s="55"/>
      <c r="Z11" s="55"/>
      <c r="AA11" s="7"/>
      <c r="AB11" s="7"/>
      <c r="AC11" s="7"/>
      <c r="AD11" s="7"/>
      <c r="AE11" s="7"/>
      <c r="AF11" s="7"/>
      <c r="AG11" s="7"/>
      <c r="AH11" s="8"/>
    </row>
    <row r="12" spans="1:256" ht="12.75" customHeight="1">
      <c r="A12" s="60" t="s">
        <v>60</v>
      </c>
      <c r="B12" s="61" t="s">
        <v>61</v>
      </c>
      <c r="C12" s="61" t="s">
        <v>62</v>
      </c>
      <c r="D12" s="48" t="s">
        <v>63</v>
      </c>
      <c r="E12" s="48" t="s">
        <v>64</v>
      </c>
      <c r="F12" s="48" t="s">
        <v>65</v>
      </c>
      <c r="G12" s="48" t="s">
        <v>66</v>
      </c>
      <c r="H12" s="48" t="s">
        <v>67</v>
      </c>
      <c r="I12" s="48" t="s">
        <v>68</v>
      </c>
      <c r="J12" s="48" t="s">
        <v>69</v>
      </c>
      <c r="K12" s="48" t="s">
        <v>70</v>
      </c>
      <c r="L12" s="48" t="s">
        <v>71</v>
      </c>
      <c r="M12" s="48" t="s">
        <v>72</v>
      </c>
      <c r="N12" s="48" t="s">
        <v>73</v>
      </c>
      <c r="O12" s="48" t="s">
        <v>74</v>
      </c>
      <c r="P12" s="48" t="s">
        <v>75</v>
      </c>
      <c r="Q12" s="48" t="s">
        <v>76</v>
      </c>
      <c r="R12" s="48" t="s">
        <v>77</v>
      </c>
      <c r="S12" s="48" t="s">
        <v>78</v>
      </c>
      <c r="T12" s="48" t="s">
        <v>79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8"/>
    </row>
    <row r="13" spans="1:256" ht="15">
      <c r="A13" s="51"/>
      <c r="B13" s="52"/>
      <c r="C13" s="52"/>
      <c r="D13" s="53"/>
      <c r="E13" s="53"/>
      <c r="F13" s="53"/>
      <c r="G13" s="53"/>
      <c r="H13" s="53"/>
      <c r="I13" s="54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8"/>
    </row>
    <row r="14" spans="1:256" ht="15">
      <c r="A14" s="5"/>
      <c r="B14" s="62"/>
      <c r="C14" s="63"/>
      <c r="D14" s="64"/>
      <c r="E14" s="63"/>
      <c r="F14" s="63"/>
      <c r="G14" s="65"/>
      <c r="H14" s="64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6"/>
      <c r="U14" s="63"/>
      <c r="V14" s="63"/>
      <c r="W14" s="63"/>
      <c r="X14" s="63"/>
      <c r="Y14" s="67"/>
      <c r="Z14" s="63"/>
      <c r="AA14" s="7"/>
      <c r="AB14" s="7"/>
      <c r="AC14" s="7"/>
      <c r="AD14" s="7"/>
      <c r="AE14" s="7"/>
      <c r="AF14" s="7"/>
      <c r="AG14" s="7"/>
      <c r="AH14" s="8"/>
    </row>
    <row r="15" spans="1:256" s="110" customFormat="1" ht="15">
      <c r="A15" s="99">
        <f>+RESUMEN!A6</f>
        <v>0</v>
      </c>
      <c r="B15" s="100"/>
      <c r="C15" s="101">
        <v>30.4</v>
      </c>
      <c r="D15" s="111">
        <f ca="1">+RESUMEN!L6</f>
        <v>279.81735159817356</v>
      </c>
      <c r="E15" s="101">
        <v>0</v>
      </c>
      <c r="F15" s="101">
        <v>0</v>
      </c>
      <c r="G15" s="102">
        <f>($P$4*C15*20.4%)</f>
        <v>673.30771199999992</v>
      </c>
      <c r="H15" s="103">
        <f ca="1">IF(D15&gt;$P$4*3,(((D15)-$P$4*3)*C15)*1.1%,0)</f>
        <v>0</v>
      </c>
      <c r="I15" s="102">
        <f ca="1">IF(D15&gt;$P$4*3,(((D15)-$P$4*3)*C15)*0.4%,0)</f>
        <v>0</v>
      </c>
      <c r="J15" s="102">
        <f ca="1">(C15*D15*0.7%)</f>
        <v>59.545132420091321</v>
      </c>
      <c r="K15" s="102">
        <f ca="1">(C15*D15*0.25%)</f>
        <v>21.26611872146119</v>
      </c>
      <c r="L15" s="102">
        <f ca="1">(C15*D15*1.05%)</f>
        <v>89.317698630137002</v>
      </c>
      <c r="M15" s="102">
        <f ca="1">C15*D15*0.375%</f>
        <v>31.899178082191781</v>
      </c>
      <c r="N15" s="102">
        <f ca="1">(C15*D15*$I$4)</f>
        <v>221.031531543379</v>
      </c>
      <c r="O15" s="102">
        <f ca="1">(C15*D15*1.75%)</f>
        <v>148.86283105022835</v>
      </c>
      <c r="P15" s="102">
        <f ca="1">(C15*D15*0.625%)</f>
        <v>53.165296803652978</v>
      </c>
      <c r="Q15" s="102">
        <f ca="1">(C15*D15*1%)</f>
        <v>85.06447488584476</v>
      </c>
      <c r="R15" s="202">
        <f ca="1">(G15+H15+J15+L15+N15+O15+Q15)</f>
        <v>1277.1293805296802</v>
      </c>
      <c r="S15" s="102">
        <f ca="1">(I15+K15+M15+P15)</f>
        <v>106.33059360730596</v>
      </c>
      <c r="T15" s="104">
        <f ca="1">(R15+S15)</f>
        <v>1383.4599741369861</v>
      </c>
      <c r="U15" s="105"/>
      <c r="V15" s="105"/>
      <c r="W15" s="105"/>
      <c r="X15" s="105"/>
      <c r="Y15" s="106"/>
      <c r="Z15" s="105"/>
      <c r="AA15" s="107"/>
      <c r="AB15" s="107"/>
      <c r="AC15" s="107"/>
      <c r="AD15" s="107"/>
      <c r="AE15" s="107"/>
      <c r="AF15" s="107"/>
      <c r="AG15" s="107"/>
      <c r="AH15" s="108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</row>
  </sheetData>
  <mergeCells count="5">
    <mergeCell ref="V11:W11"/>
    <mergeCell ref="A1:T1"/>
    <mergeCell ref="Q3:S3"/>
    <mergeCell ref="A2:T2"/>
    <mergeCell ref="R11:S11"/>
  </mergeCells>
  <pageMargins left="0.75" right="0.75" top="1" bottom="1" header="0.5" footer="0.5"/>
  <pageSetup orientation="landscape"/>
  <headerFooter>
    <oddFooter>&amp;L&amp;"Helvetica,Regular"&amp;11&amp;K000000	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6"/>
  <sheetViews>
    <sheetView showGridLines="0" zoomScale="80" zoomScaleNormal="80" workbookViewId="0">
      <selection activeCell="A21" sqref="A21"/>
    </sheetView>
  </sheetViews>
  <sheetFormatPr baseColWidth="10" defaultColWidth="8.06640625" defaultRowHeight="12" customHeight="1"/>
  <cols>
    <col min="1" max="1" width="17" style="1" customWidth="1"/>
    <col min="2" max="2" width="9.59765625" style="1" customWidth="1"/>
    <col min="3" max="4" width="8.06640625" style="1" customWidth="1"/>
    <col min="5" max="5" width="2.06640625" style="1" bestFit="1" customWidth="1"/>
    <col min="6" max="6" width="2.73046875" style="1" bestFit="1" customWidth="1"/>
    <col min="7" max="7" width="10" style="1" customWidth="1"/>
    <col min="8" max="8" width="8.06640625" style="1" customWidth="1"/>
    <col min="9" max="9" width="8.59765625" style="1" customWidth="1"/>
    <col min="10" max="10" width="8.06640625" style="1" customWidth="1"/>
    <col min="11" max="11" width="9.06640625" style="1" customWidth="1"/>
    <col min="12" max="12" width="9.73046875" style="1" customWidth="1"/>
    <col min="13" max="256" width="8.06640625" style="1" customWidth="1"/>
  </cols>
  <sheetData>
    <row r="1" spans="1:256" ht="23.25" customHeight="1">
      <c r="A1" s="334" t="s">
        <v>40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68"/>
      <c r="R1" s="68"/>
      <c r="S1" s="68"/>
      <c r="T1" s="69"/>
    </row>
    <row r="2" spans="1:256" ht="19.5" customHeight="1">
      <c r="A2" s="340" t="s">
        <v>80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70"/>
      <c r="R2" s="70"/>
      <c r="S2" s="70"/>
      <c r="T2" s="71"/>
    </row>
    <row r="3" spans="1:256" ht="15.75" customHeight="1">
      <c r="A3" s="338" t="s">
        <v>81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19"/>
      <c r="R3" s="19"/>
      <c r="S3" s="19"/>
      <c r="T3" s="72"/>
    </row>
    <row r="4" spans="1:256" ht="12.75" customHeight="1">
      <c r="A4" s="73" t="s">
        <v>41</v>
      </c>
      <c r="B4" s="74"/>
      <c r="C4" s="75" t="s">
        <v>42</v>
      </c>
      <c r="D4" s="74"/>
      <c r="E4" s="76"/>
      <c r="F4" s="74"/>
      <c r="G4" s="77" t="s">
        <v>43</v>
      </c>
      <c r="H4" s="76"/>
      <c r="I4" s="74"/>
      <c r="J4" s="78" t="s">
        <v>44</v>
      </c>
      <c r="K4" s="74"/>
      <c r="L4" s="74"/>
      <c r="M4" s="77" t="s">
        <v>45</v>
      </c>
      <c r="N4" s="74"/>
      <c r="O4" s="336">
        <f ca="1">TODAY()</f>
        <v>45846</v>
      </c>
      <c r="P4" s="336"/>
      <c r="Q4" s="79"/>
      <c r="R4" s="7"/>
      <c r="S4" s="7"/>
      <c r="T4" s="80"/>
    </row>
    <row r="5" spans="1:256" ht="12.75" customHeight="1">
      <c r="A5" s="73" t="s">
        <v>46</v>
      </c>
      <c r="B5" s="74"/>
      <c r="C5" s="74"/>
      <c r="D5" s="76"/>
      <c r="E5" s="76"/>
      <c r="F5" s="74"/>
      <c r="G5" s="77" t="s">
        <v>47</v>
      </c>
      <c r="H5" s="76"/>
      <c r="I5" s="74"/>
      <c r="J5" s="74"/>
      <c r="K5" s="76"/>
      <c r="L5" s="76"/>
      <c r="M5" s="81" t="s">
        <v>48</v>
      </c>
      <c r="N5" s="76"/>
      <c r="O5" s="96">
        <f>IMSS!P4</f>
        <v>108.57</v>
      </c>
      <c r="P5" s="7"/>
      <c r="Q5" s="76"/>
      <c r="R5" s="76"/>
      <c r="S5" s="76"/>
      <c r="T5" s="82"/>
    </row>
    <row r="6" spans="1:256" ht="12.75" customHeight="1">
      <c r="A6" s="73" t="s">
        <v>49</v>
      </c>
      <c r="B6" s="74"/>
      <c r="C6" s="74"/>
      <c r="D6" s="76"/>
      <c r="E6" s="76"/>
      <c r="F6" s="74"/>
      <c r="G6" s="77" t="s">
        <v>50</v>
      </c>
      <c r="H6" s="76"/>
      <c r="I6" s="76"/>
      <c r="J6" s="74"/>
      <c r="K6" s="76"/>
      <c r="L6" s="76"/>
      <c r="M6" s="76"/>
      <c r="N6" s="76"/>
      <c r="O6" s="76"/>
      <c r="P6" s="76"/>
      <c r="Q6" s="76"/>
      <c r="R6" s="76"/>
      <c r="S6" s="76"/>
      <c r="T6" s="82"/>
    </row>
    <row r="7" spans="1:256" ht="12.75" customHeight="1">
      <c r="A7" s="73" t="s">
        <v>51</v>
      </c>
      <c r="B7" s="74"/>
      <c r="C7" s="74"/>
      <c r="D7" s="76"/>
      <c r="E7" s="76"/>
      <c r="F7" s="74"/>
      <c r="G7" s="77" t="s">
        <v>52</v>
      </c>
      <c r="H7" s="76"/>
      <c r="I7" s="74"/>
      <c r="J7" s="74"/>
      <c r="K7" s="76"/>
      <c r="L7" s="76"/>
      <c r="M7" s="76"/>
      <c r="N7" s="76"/>
      <c r="O7" s="76"/>
      <c r="P7" s="76"/>
      <c r="Q7" s="76"/>
      <c r="R7" s="76"/>
      <c r="S7" s="76"/>
      <c r="T7" s="82"/>
    </row>
    <row r="8" spans="1:256" ht="12.75" customHeight="1">
      <c r="A8" s="73" t="s">
        <v>53</v>
      </c>
      <c r="B8" s="83"/>
      <c r="C8" s="77" t="s">
        <v>54</v>
      </c>
      <c r="D8" s="74"/>
      <c r="E8" s="76"/>
      <c r="F8" s="74"/>
      <c r="G8" s="77" t="s">
        <v>82</v>
      </c>
      <c r="H8" s="217"/>
      <c r="I8" s="74"/>
      <c r="J8" s="84"/>
      <c r="K8" s="74"/>
      <c r="L8" s="74"/>
      <c r="M8" s="77" t="s">
        <v>83</v>
      </c>
      <c r="N8" s="76"/>
      <c r="O8" s="85">
        <v>0.05</v>
      </c>
      <c r="P8" s="7"/>
      <c r="Q8" s="76"/>
      <c r="R8" s="76"/>
      <c r="S8" s="76"/>
      <c r="T8" s="82"/>
    </row>
    <row r="9" spans="1:256" ht="12.75" customHeight="1">
      <c r="A9" s="86"/>
      <c r="B9" s="74"/>
      <c r="C9" s="74"/>
      <c r="D9" s="76"/>
      <c r="E9" s="76"/>
      <c r="F9" s="76"/>
      <c r="G9" s="76"/>
      <c r="H9" s="218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82"/>
    </row>
    <row r="10" spans="1:256" ht="8.25" customHeight="1">
      <c r="A10" s="87"/>
      <c r="B10" s="88"/>
      <c r="C10" s="88"/>
      <c r="D10" s="89"/>
      <c r="E10" s="89"/>
      <c r="F10" s="89"/>
      <c r="G10" s="89"/>
      <c r="H10" s="89"/>
      <c r="I10" s="90"/>
      <c r="J10" s="89"/>
      <c r="K10" s="89"/>
      <c r="L10" s="89"/>
      <c r="M10" s="89"/>
      <c r="N10" s="89"/>
      <c r="O10" s="89"/>
      <c r="P10" s="89"/>
      <c r="Q10" s="76"/>
      <c r="R10" s="76"/>
      <c r="S10" s="76"/>
      <c r="T10" s="82"/>
    </row>
    <row r="11" spans="1:256" ht="12.75" customHeight="1">
      <c r="A11" s="73" t="s">
        <v>56</v>
      </c>
      <c r="B11" s="74"/>
      <c r="C11" s="74"/>
      <c r="D11" s="75" t="s">
        <v>57</v>
      </c>
      <c r="E11" s="76"/>
      <c r="F11" s="76"/>
      <c r="G11" s="85">
        <v>0.02</v>
      </c>
      <c r="H11" s="98">
        <v>4.3499999999999997E-2</v>
      </c>
      <c r="I11" s="91">
        <v>1.125E-2</v>
      </c>
      <c r="J11" s="76"/>
      <c r="K11" s="85">
        <v>0.05</v>
      </c>
      <c r="L11" s="76"/>
      <c r="M11" s="75" t="s">
        <v>84</v>
      </c>
      <c r="N11" s="76"/>
      <c r="O11" s="76"/>
      <c r="P11" s="76"/>
      <c r="Q11" s="76"/>
      <c r="R11" s="76"/>
      <c r="S11" s="76"/>
      <c r="T11" s="82"/>
    </row>
    <row r="12" spans="1:256" ht="12.75" customHeight="1">
      <c r="A12" s="86"/>
      <c r="B12" s="74"/>
      <c r="C12" s="74"/>
      <c r="D12" s="76"/>
      <c r="E12" s="76"/>
      <c r="F12" s="76"/>
      <c r="G12" s="76"/>
      <c r="H12" s="75" t="s">
        <v>85</v>
      </c>
      <c r="I12" s="92"/>
      <c r="J12" s="76"/>
      <c r="K12" s="81" t="s">
        <v>86</v>
      </c>
      <c r="L12" s="81" t="s">
        <v>87</v>
      </c>
      <c r="M12" s="76"/>
      <c r="N12" s="76"/>
      <c r="O12" s="76"/>
      <c r="P12" s="81" t="s">
        <v>88</v>
      </c>
      <c r="Q12" s="76"/>
      <c r="R12" s="337"/>
      <c r="S12" s="337"/>
      <c r="T12" s="82"/>
    </row>
    <row r="13" spans="1:256" ht="12.75" customHeight="1">
      <c r="A13" s="93" t="s">
        <v>60</v>
      </c>
      <c r="B13" s="81" t="s">
        <v>61</v>
      </c>
      <c r="C13" s="81" t="s">
        <v>62</v>
      </c>
      <c r="D13" s="81" t="s">
        <v>63</v>
      </c>
      <c r="E13" s="81" t="s">
        <v>64</v>
      </c>
      <c r="F13" s="81" t="s">
        <v>65</v>
      </c>
      <c r="G13" s="81" t="s">
        <v>89</v>
      </c>
      <c r="H13" s="81" t="s">
        <v>77</v>
      </c>
      <c r="I13" s="81" t="s">
        <v>78</v>
      </c>
      <c r="J13" s="81" t="s">
        <v>90</v>
      </c>
      <c r="K13" s="81" t="s">
        <v>77</v>
      </c>
      <c r="L13" s="81" t="s">
        <v>91</v>
      </c>
      <c r="M13" s="81" t="s">
        <v>92</v>
      </c>
      <c r="N13" s="81" t="s">
        <v>90</v>
      </c>
      <c r="O13" s="81" t="s">
        <v>93</v>
      </c>
      <c r="P13" s="81" t="s">
        <v>94</v>
      </c>
      <c r="Q13" s="76"/>
      <c r="R13" s="76"/>
      <c r="S13" s="76"/>
      <c r="T13" s="82"/>
    </row>
    <row r="14" spans="1:256" ht="8.25" customHeight="1">
      <c r="A14" s="87"/>
      <c r="B14" s="88"/>
      <c r="C14" s="88"/>
      <c r="D14" s="89"/>
      <c r="E14" s="89"/>
      <c r="F14" s="89"/>
      <c r="G14" s="89"/>
      <c r="H14" s="89"/>
      <c r="I14" s="90"/>
      <c r="J14" s="89"/>
      <c r="K14" s="89"/>
      <c r="L14" s="89"/>
      <c r="M14" s="89"/>
      <c r="N14" s="89"/>
      <c r="O14" s="89"/>
      <c r="P14" s="89"/>
      <c r="Q14" s="76"/>
      <c r="R14" s="76"/>
      <c r="S14" s="76"/>
      <c r="T14" s="82"/>
    </row>
    <row r="15" spans="1:256" ht="12.75" customHeight="1">
      <c r="A15" s="86"/>
      <c r="B15" s="74"/>
      <c r="C15" s="74"/>
      <c r="D15" s="76"/>
      <c r="E15" s="76"/>
      <c r="F15" s="76"/>
      <c r="G15" s="76"/>
      <c r="H15" s="76"/>
      <c r="I15" s="92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82"/>
    </row>
    <row r="16" spans="1:256" s="110" customFormat="1" ht="12.75" customHeight="1">
      <c r="A16" s="112">
        <f>+IMSS!A15</f>
        <v>0</v>
      </c>
      <c r="B16" s="113"/>
      <c r="C16" s="101">
        <v>30.4</v>
      </c>
      <c r="D16" s="114">
        <f ca="1">(IMSS!D15)</f>
        <v>279.81735159817356</v>
      </c>
      <c r="E16" s="115">
        <v>0</v>
      </c>
      <c r="F16" s="115">
        <v>0</v>
      </c>
      <c r="G16" s="203">
        <f ca="1">C16*D16*2%</f>
        <v>170.12894977168952</v>
      </c>
      <c r="H16" s="203">
        <f ca="1">C16*D16*$H$11</f>
        <v>370.03046575342466</v>
      </c>
      <c r="I16" s="116">
        <f ca="1">C16*D16*1.125%</f>
        <v>95.697534246575344</v>
      </c>
      <c r="J16" s="117">
        <f ca="1">SUM(G16:I16)</f>
        <v>635.85694977168941</v>
      </c>
      <c r="K16" s="118">
        <f ca="1">C16*D16*5%</f>
        <v>425.32237442922383</v>
      </c>
      <c r="L16" s="116">
        <v>0</v>
      </c>
      <c r="M16" s="115" t="s">
        <v>95</v>
      </c>
      <c r="N16" s="116">
        <f ca="1">SUM(K16:M16)</f>
        <v>425.32237442922383</v>
      </c>
      <c r="O16" s="119"/>
      <c r="P16" s="120">
        <f ca="1">J16+N16</f>
        <v>1061.1793242009132</v>
      </c>
      <c r="Q16" s="119"/>
      <c r="R16" s="119"/>
      <c r="S16" s="119"/>
      <c r="T16" s="121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</row>
  </sheetData>
  <mergeCells count="5">
    <mergeCell ref="A1:P1"/>
    <mergeCell ref="O4:P4"/>
    <mergeCell ref="R12:S12"/>
    <mergeCell ref="A3:P3"/>
    <mergeCell ref="A2:P2"/>
  </mergeCells>
  <pageMargins left="0.75" right="0.75" top="1" bottom="1" header="0.5" footer="0.5"/>
  <pageSetup orientation="landscape"/>
  <headerFooter>
    <oddFooter>&amp;L&amp;"Helvetica,Regular"&amp;11&amp;K000000	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5888-FCF7-460E-BA98-70B7003100A7}">
  <dimension ref="B1:L36"/>
  <sheetViews>
    <sheetView showGridLines="0" zoomScale="70" zoomScaleNormal="70" workbookViewId="0">
      <selection activeCell="A12" sqref="A12:XFD12"/>
    </sheetView>
  </sheetViews>
  <sheetFormatPr baseColWidth="10" defaultRowHeight="20"/>
  <cols>
    <col min="1" max="1" width="3.06640625" style="122" customWidth="1"/>
    <col min="2" max="6" width="13.06640625" style="122" customWidth="1"/>
    <col min="7" max="8" width="11.19921875" style="122"/>
    <col min="9" max="9" width="9.19921875" style="122" bestFit="1" customWidth="1"/>
    <col min="10" max="256" width="11.19921875" style="122"/>
    <col min="257" max="257" width="3.06640625" style="122" customWidth="1"/>
    <col min="258" max="262" width="13.06640625" style="122" customWidth="1"/>
    <col min="263" max="264" width="11.19921875" style="122"/>
    <col min="265" max="265" width="9.19921875" style="122" bestFit="1" customWidth="1"/>
    <col min="266" max="512" width="11.19921875" style="122"/>
    <col min="513" max="513" width="3.06640625" style="122" customWidth="1"/>
    <col min="514" max="518" width="13.06640625" style="122" customWidth="1"/>
    <col min="519" max="520" width="11.19921875" style="122"/>
    <col min="521" max="521" width="9.19921875" style="122" bestFit="1" customWidth="1"/>
    <col min="522" max="768" width="11.19921875" style="122"/>
    <col min="769" max="769" width="3.06640625" style="122" customWidth="1"/>
    <col min="770" max="774" width="13.06640625" style="122" customWidth="1"/>
    <col min="775" max="776" width="11.19921875" style="122"/>
    <col min="777" max="777" width="9.19921875" style="122" bestFit="1" customWidth="1"/>
    <col min="778" max="1024" width="11.19921875" style="122"/>
    <col min="1025" max="1025" width="3.06640625" style="122" customWidth="1"/>
    <col min="1026" max="1030" width="13.06640625" style="122" customWidth="1"/>
    <col min="1031" max="1032" width="11.19921875" style="122"/>
    <col min="1033" max="1033" width="9.19921875" style="122" bestFit="1" customWidth="1"/>
    <col min="1034" max="1280" width="11.19921875" style="122"/>
    <col min="1281" max="1281" width="3.06640625" style="122" customWidth="1"/>
    <col min="1282" max="1286" width="13.06640625" style="122" customWidth="1"/>
    <col min="1287" max="1288" width="11.19921875" style="122"/>
    <col min="1289" max="1289" width="9.19921875" style="122" bestFit="1" customWidth="1"/>
    <col min="1290" max="1536" width="11.19921875" style="122"/>
    <col min="1537" max="1537" width="3.06640625" style="122" customWidth="1"/>
    <col min="1538" max="1542" width="13.06640625" style="122" customWidth="1"/>
    <col min="1543" max="1544" width="11.19921875" style="122"/>
    <col min="1545" max="1545" width="9.19921875" style="122" bestFit="1" customWidth="1"/>
    <col min="1546" max="1792" width="11.19921875" style="122"/>
    <col min="1793" max="1793" width="3.06640625" style="122" customWidth="1"/>
    <col min="1794" max="1798" width="13.06640625" style="122" customWidth="1"/>
    <col min="1799" max="1800" width="11.19921875" style="122"/>
    <col min="1801" max="1801" width="9.19921875" style="122" bestFit="1" customWidth="1"/>
    <col min="1802" max="2048" width="11.19921875" style="122"/>
    <col min="2049" max="2049" width="3.06640625" style="122" customWidth="1"/>
    <col min="2050" max="2054" width="13.06640625" style="122" customWidth="1"/>
    <col min="2055" max="2056" width="11.19921875" style="122"/>
    <col min="2057" max="2057" width="9.19921875" style="122" bestFit="1" customWidth="1"/>
    <col min="2058" max="2304" width="11.19921875" style="122"/>
    <col min="2305" max="2305" width="3.06640625" style="122" customWidth="1"/>
    <col min="2306" max="2310" width="13.06640625" style="122" customWidth="1"/>
    <col min="2311" max="2312" width="11.19921875" style="122"/>
    <col min="2313" max="2313" width="9.19921875" style="122" bestFit="1" customWidth="1"/>
    <col min="2314" max="2560" width="11.19921875" style="122"/>
    <col min="2561" max="2561" width="3.06640625" style="122" customWidth="1"/>
    <col min="2562" max="2566" width="13.06640625" style="122" customWidth="1"/>
    <col min="2567" max="2568" width="11.19921875" style="122"/>
    <col min="2569" max="2569" width="9.19921875" style="122" bestFit="1" customWidth="1"/>
    <col min="2570" max="2816" width="11.19921875" style="122"/>
    <col min="2817" max="2817" width="3.06640625" style="122" customWidth="1"/>
    <col min="2818" max="2822" width="13.06640625" style="122" customWidth="1"/>
    <col min="2823" max="2824" width="11.19921875" style="122"/>
    <col min="2825" max="2825" width="9.19921875" style="122" bestFit="1" customWidth="1"/>
    <col min="2826" max="3072" width="11.19921875" style="122"/>
    <col min="3073" max="3073" width="3.06640625" style="122" customWidth="1"/>
    <col min="3074" max="3078" width="13.06640625" style="122" customWidth="1"/>
    <col min="3079" max="3080" width="11.19921875" style="122"/>
    <col min="3081" max="3081" width="9.19921875" style="122" bestFit="1" customWidth="1"/>
    <col min="3082" max="3328" width="11.19921875" style="122"/>
    <col min="3329" max="3329" width="3.06640625" style="122" customWidth="1"/>
    <col min="3330" max="3334" width="13.06640625" style="122" customWidth="1"/>
    <col min="3335" max="3336" width="11.19921875" style="122"/>
    <col min="3337" max="3337" width="9.19921875" style="122" bestFit="1" customWidth="1"/>
    <col min="3338" max="3584" width="11.19921875" style="122"/>
    <col min="3585" max="3585" width="3.06640625" style="122" customWidth="1"/>
    <col min="3586" max="3590" width="13.06640625" style="122" customWidth="1"/>
    <col min="3591" max="3592" width="11.19921875" style="122"/>
    <col min="3593" max="3593" width="9.19921875" style="122" bestFit="1" customWidth="1"/>
    <col min="3594" max="3840" width="11.19921875" style="122"/>
    <col min="3841" max="3841" width="3.06640625" style="122" customWidth="1"/>
    <col min="3842" max="3846" width="13.06640625" style="122" customWidth="1"/>
    <col min="3847" max="3848" width="11.19921875" style="122"/>
    <col min="3849" max="3849" width="9.19921875" style="122" bestFit="1" customWidth="1"/>
    <col min="3850" max="4096" width="11.19921875" style="122"/>
    <col min="4097" max="4097" width="3.06640625" style="122" customWidth="1"/>
    <col min="4098" max="4102" width="13.06640625" style="122" customWidth="1"/>
    <col min="4103" max="4104" width="11.19921875" style="122"/>
    <col min="4105" max="4105" width="9.19921875" style="122" bestFit="1" customWidth="1"/>
    <col min="4106" max="4352" width="11.19921875" style="122"/>
    <col min="4353" max="4353" width="3.06640625" style="122" customWidth="1"/>
    <col min="4354" max="4358" width="13.06640625" style="122" customWidth="1"/>
    <col min="4359" max="4360" width="11.19921875" style="122"/>
    <col min="4361" max="4361" width="9.19921875" style="122" bestFit="1" customWidth="1"/>
    <col min="4362" max="4608" width="11.19921875" style="122"/>
    <col min="4609" max="4609" width="3.06640625" style="122" customWidth="1"/>
    <col min="4610" max="4614" width="13.06640625" style="122" customWidth="1"/>
    <col min="4615" max="4616" width="11.19921875" style="122"/>
    <col min="4617" max="4617" width="9.19921875" style="122" bestFit="1" customWidth="1"/>
    <col min="4618" max="4864" width="11.19921875" style="122"/>
    <col min="4865" max="4865" width="3.06640625" style="122" customWidth="1"/>
    <col min="4866" max="4870" width="13.06640625" style="122" customWidth="1"/>
    <col min="4871" max="4872" width="11.19921875" style="122"/>
    <col min="4873" max="4873" width="9.19921875" style="122" bestFit="1" customWidth="1"/>
    <col min="4874" max="5120" width="11.19921875" style="122"/>
    <col min="5121" max="5121" width="3.06640625" style="122" customWidth="1"/>
    <col min="5122" max="5126" width="13.06640625" style="122" customWidth="1"/>
    <col min="5127" max="5128" width="11.19921875" style="122"/>
    <col min="5129" max="5129" width="9.19921875" style="122" bestFit="1" customWidth="1"/>
    <col min="5130" max="5376" width="11.19921875" style="122"/>
    <col min="5377" max="5377" width="3.06640625" style="122" customWidth="1"/>
    <col min="5378" max="5382" width="13.06640625" style="122" customWidth="1"/>
    <col min="5383" max="5384" width="11.19921875" style="122"/>
    <col min="5385" max="5385" width="9.19921875" style="122" bestFit="1" customWidth="1"/>
    <col min="5386" max="5632" width="11.19921875" style="122"/>
    <col min="5633" max="5633" width="3.06640625" style="122" customWidth="1"/>
    <col min="5634" max="5638" width="13.06640625" style="122" customWidth="1"/>
    <col min="5639" max="5640" width="11.19921875" style="122"/>
    <col min="5641" max="5641" width="9.19921875" style="122" bestFit="1" customWidth="1"/>
    <col min="5642" max="5888" width="11.19921875" style="122"/>
    <col min="5889" max="5889" width="3.06640625" style="122" customWidth="1"/>
    <col min="5890" max="5894" width="13.06640625" style="122" customWidth="1"/>
    <col min="5895" max="5896" width="11.19921875" style="122"/>
    <col min="5897" max="5897" width="9.19921875" style="122" bestFit="1" customWidth="1"/>
    <col min="5898" max="6144" width="11.19921875" style="122"/>
    <col min="6145" max="6145" width="3.06640625" style="122" customWidth="1"/>
    <col min="6146" max="6150" width="13.06640625" style="122" customWidth="1"/>
    <col min="6151" max="6152" width="11.19921875" style="122"/>
    <col min="6153" max="6153" width="9.19921875" style="122" bestFit="1" customWidth="1"/>
    <col min="6154" max="6400" width="11.19921875" style="122"/>
    <col min="6401" max="6401" width="3.06640625" style="122" customWidth="1"/>
    <col min="6402" max="6406" width="13.06640625" style="122" customWidth="1"/>
    <col min="6407" max="6408" width="11.19921875" style="122"/>
    <col min="6409" max="6409" width="9.19921875" style="122" bestFit="1" customWidth="1"/>
    <col min="6410" max="6656" width="11.19921875" style="122"/>
    <col min="6657" max="6657" width="3.06640625" style="122" customWidth="1"/>
    <col min="6658" max="6662" width="13.06640625" style="122" customWidth="1"/>
    <col min="6663" max="6664" width="11.19921875" style="122"/>
    <col min="6665" max="6665" width="9.19921875" style="122" bestFit="1" customWidth="1"/>
    <col min="6666" max="6912" width="11.19921875" style="122"/>
    <col min="6913" max="6913" width="3.06640625" style="122" customWidth="1"/>
    <col min="6914" max="6918" width="13.06640625" style="122" customWidth="1"/>
    <col min="6919" max="6920" width="11.19921875" style="122"/>
    <col min="6921" max="6921" width="9.19921875" style="122" bestFit="1" customWidth="1"/>
    <col min="6922" max="7168" width="11.19921875" style="122"/>
    <col min="7169" max="7169" width="3.06640625" style="122" customWidth="1"/>
    <col min="7170" max="7174" width="13.06640625" style="122" customWidth="1"/>
    <col min="7175" max="7176" width="11.19921875" style="122"/>
    <col min="7177" max="7177" width="9.19921875" style="122" bestFit="1" customWidth="1"/>
    <col min="7178" max="7424" width="11.19921875" style="122"/>
    <col min="7425" max="7425" width="3.06640625" style="122" customWidth="1"/>
    <col min="7426" max="7430" width="13.06640625" style="122" customWidth="1"/>
    <col min="7431" max="7432" width="11.19921875" style="122"/>
    <col min="7433" max="7433" width="9.19921875" style="122" bestFit="1" customWidth="1"/>
    <col min="7434" max="7680" width="11.19921875" style="122"/>
    <col min="7681" max="7681" width="3.06640625" style="122" customWidth="1"/>
    <col min="7682" max="7686" width="13.06640625" style="122" customWidth="1"/>
    <col min="7687" max="7688" width="11.19921875" style="122"/>
    <col min="7689" max="7689" width="9.19921875" style="122" bestFit="1" customWidth="1"/>
    <col min="7690" max="7936" width="11.19921875" style="122"/>
    <col min="7937" max="7937" width="3.06640625" style="122" customWidth="1"/>
    <col min="7938" max="7942" width="13.06640625" style="122" customWidth="1"/>
    <col min="7943" max="7944" width="11.19921875" style="122"/>
    <col min="7945" max="7945" width="9.19921875" style="122" bestFit="1" customWidth="1"/>
    <col min="7946" max="8192" width="11.19921875" style="122"/>
    <col min="8193" max="8193" width="3.06640625" style="122" customWidth="1"/>
    <col min="8194" max="8198" width="13.06640625" style="122" customWidth="1"/>
    <col min="8199" max="8200" width="11.19921875" style="122"/>
    <col min="8201" max="8201" width="9.19921875" style="122" bestFit="1" customWidth="1"/>
    <col min="8202" max="8448" width="11.19921875" style="122"/>
    <col min="8449" max="8449" width="3.06640625" style="122" customWidth="1"/>
    <col min="8450" max="8454" width="13.06640625" style="122" customWidth="1"/>
    <col min="8455" max="8456" width="11.19921875" style="122"/>
    <col min="8457" max="8457" width="9.19921875" style="122" bestFit="1" customWidth="1"/>
    <col min="8458" max="8704" width="11.19921875" style="122"/>
    <col min="8705" max="8705" width="3.06640625" style="122" customWidth="1"/>
    <col min="8706" max="8710" width="13.06640625" style="122" customWidth="1"/>
    <col min="8711" max="8712" width="11.19921875" style="122"/>
    <col min="8713" max="8713" width="9.19921875" style="122" bestFit="1" customWidth="1"/>
    <col min="8714" max="8960" width="11.19921875" style="122"/>
    <col min="8961" max="8961" width="3.06640625" style="122" customWidth="1"/>
    <col min="8962" max="8966" width="13.06640625" style="122" customWidth="1"/>
    <col min="8967" max="8968" width="11.19921875" style="122"/>
    <col min="8969" max="8969" width="9.19921875" style="122" bestFit="1" customWidth="1"/>
    <col min="8970" max="9216" width="11.19921875" style="122"/>
    <col min="9217" max="9217" width="3.06640625" style="122" customWidth="1"/>
    <col min="9218" max="9222" width="13.06640625" style="122" customWidth="1"/>
    <col min="9223" max="9224" width="11.19921875" style="122"/>
    <col min="9225" max="9225" width="9.19921875" style="122" bestFit="1" customWidth="1"/>
    <col min="9226" max="9472" width="11.19921875" style="122"/>
    <col min="9473" max="9473" width="3.06640625" style="122" customWidth="1"/>
    <col min="9474" max="9478" width="13.06640625" style="122" customWidth="1"/>
    <col min="9479" max="9480" width="11.19921875" style="122"/>
    <col min="9481" max="9481" width="9.19921875" style="122" bestFit="1" customWidth="1"/>
    <col min="9482" max="9728" width="11.19921875" style="122"/>
    <col min="9729" max="9729" width="3.06640625" style="122" customWidth="1"/>
    <col min="9730" max="9734" width="13.06640625" style="122" customWidth="1"/>
    <col min="9735" max="9736" width="11.19921875" style="122"/>
    <col min="9737" max="9737" width="9.19921875" style="122" bestFit="1" customWidth="1"/>
    <col min="9738" max="9984" width="11.19921875" style="122"/>
    <col min="9985" max="9985" width="3.06640625" style="122" customWidth="1"/>
    <col min="9986" max="9990" width="13.06640625" style="122" customWidth="1"/>
    <col min="9991" max="9992" width="11.19921875" style="122"/>
    <col min="9993" max="9993" width="9.19921875" style="122" bestFit="1" customWidth="1"/>
    <col min="9994" max="10240" width="11.19921875" style="122"/>
    <col min="10241" max="10241" width="3.06640625" style="122" customWidth="1"/>
    <col min="10242" max="10246" width="13.06640625" style="122" customWidth="1"/>
    <col min="10247" max="10248" width="11.19921875" style="122"/>
    <col min="10249" max="10249" width="9.19921875" style="122" bestFit="1" customWidth="1"/>
    <col min="10250" max="10496" width="11.19921875" style="122"/>
    <col min="10497" max="10497" width="3.06640625" style="122" customWidth="1"/>
    <col min="10498" max="10502" width="13.06640625" style="122" customWidth="1"/>
    <col min="10503" max="10504" width="11.19921875" style="122"/>
    <col min="10505" max="10505" width="9.19921875" style="122" bestFit="1" customWidth="1"/>
    <col min="10506" max="10752" width="11.19921875" style="122"/>
    <col min="10753" max="10753" width="3.06640625" style="122" customWidth="1"/>
    <col min="10754" max="10758" width="13.06640625" style="122" customWidth="1"/>
    <col min="10759" max="10760" width="11.19921875" style="122"/>
    <col min="10761" max="10761" width="9.19921875" style="122" bestFit="1" customWidth="1"/>
    <col min="10762" max="11008" width="11.19921875" style="122"/>
    <col min="11009" max="11009" width="3.06640625" style="122" customWidth="1"/>
    <col min="11010" max="11014" width="13.06640625" style="122" customWidth="1"/>
    <col min="11015" max="11016" width="11.19921875" style="122"/>
    <col min="11017" max="11017" width="9.19921875" style="122" bestFit="1" customWidth="1"/>
    <col min="11018" max="11264" width="11.19921875" style="122"/>
    <col min="11265" max="11265" width="3.06640625" style="122" customWidth="1"/>
    <col min="11266" max="11270" width="13.06640625" style="122" customWidth="1"/>
    <col min="11271" max="11272" width="11.19921875" style="122"/>
    <col min="11273" max="11273" width="9.19921875" style="122" bestFit="1" customWidth="1"/>
    <col min="11274" max="11520" width="11.19921875" style="122"/>
    <col min="11521" max="11521" width="3.06640625" style="122" customWidth="1"/>
    <col min="11522" max="11526" width="13.06640625" style="122" customWidth="1"/>
    <col min="11527" max="11528" width="11.19921875" style="122"/>
    <col min="11529" max="11529" width="9.19921875" style="122" bestFit="1" customWidth="1"/>
    <col min="11530" max="11776" width="11.19921875" style="122"/>
    <col min="11777" max="11777" width="3.06640625" style="122" customWidth="1"/>
    <col min="11778" max="11782" width="13.06640625" style="122" customWidth="1"/>
    <col min="11783" max="11784" width="11.19921875" style="122"/>
    <col min="11785" max="11785" width="9.19921875" style="122" bestFit="1" customWidth="1"/>
    <col min="11786" max="12032" width="11.19921875" style="122"/>
    <col min="12033" max="12033" width="3.06640625" style="122" customWidth="1"/>
    <col min="12034" max="12038" width="13.06640625" style="122" customWidth="1"/>
    <col min="12039" max="12040" width="11.19921875" style="122"/>
    <col min="12041" max="12041" width="9.19921875" style="122" bestFit="1" customWidth="1"/>
    <col min="12042" max="12288" width="11.19921875" style="122"/>
    <col min="12289" max="12289" width="3.06640625" style="122" customWidth="1"/>
    <col min="12290" max="12294" width="13.06640625" style="122" customWidth="1"/>
    <col min="12295" max="12296" width="11.19921875" style="122"/>
    <col min="12297" max="12297" width="9.19921875" style="122" bestFit="1" customWidth="1"/>
    <col min="12298" max="12544" width="11.19921875" style="122"/>
    <col min="12545" max="12545" width="3.06640625" style="122" customWidth="1"/>
    <col min="12546" max="12550" width="13.06640625" style="122" customWidth="1"/>
    <col min="12551" max="12552" width="11.19921875" style="122"/>
    <col min="12553" max="12553" width="9.19921875" style="122" bestFit="1" customWidth="1"/>
    <col min="12554" max="12800" width="11.19921875" style="122"/>
    <col min="12801" max="12801" width="3.06640625" style="122" customWidth="1"/>
    <col min="12802" max="12806" width="13.06640625" style="122" customWidth="1"/>
    <col min="12807" max="12808" width="11.19921875" style="122"/>
    <col min="12809" max="12809" width="9.19921875" style="122" bestFit="1" customWidth="1"/>
    <col min="12810" max="13056" width="11.19921875" style="122"/>
    <col min="13057" max="13057" width="3.06640625" style="122" customWidth="1"/>
    <col min="13058" max="13062" width="13.06640625" style="122" customWidth="1"/>
    <col min="13063" max="13064" width="11.19921875" style="122"/>
    <col min="13065" max="13065" width="9.19921875" style="122" bestFit="1" customWidth="1"/>
    <col min="13066" max="13312" width="11.19921875" style="122"/>
    <col min="13313" max="13313" width="3.06640625" style="122" customWidth="1"/>
    <col min="13314" max="13318" width="13.06640625" style="122" customWidth="1"/>
    <col min="13319" max="13320" width="11.19921875" style="122"/>
    <col min="13321" max="13321" width="9.19921875" style="122" bestFit="1" customWidth="1"/>
    <col min="13322" max="13568" width="11.19921875" style="122"/>
    <col min="13569" max="13569" width="3.06640625" style="122" customWidth="1"/>
    <col min="13570" max="13574" width="13.06640625" style="122" customWidth="1"/>
    <col min="13575" max="13576" width="11.19921875" style="122"/>
    <col min="13577" max="13577" width="9.19921875" style="122" bestFit="1" customWidth="1"/>
    <col min="13578" max="13824" width="11.19921875" style="122"/>
    <col min="13825" max="13825" width="3.06640625" style="122" customWidth="1"/>
    <col min="13826" max="13830" width="13.06640625" style="122" customWidth="1"/>
    <col min="13831" max="13832" width="11.19921875" style="122"/>
    <col min="13833" max="13833" width="9.19921875" style="122" bestFit="1" customWidth="1"/>
    <col min="13834" max="14080" width="11.19921875" style="122"/>
    <col min="14081" max="14081" width="3.06640625" style="122" customWidth="1"/>
    <col min="14082" max="14086" width="13.06640625" style="122" customWidth="1"/>
    <col min="14087" max="14088" width="11.19921875" style="122"/>
    <col min="14089" max="14089" width="9.19921875" style="122" bestFit="1" customWidth="1"/>
    <col min="14090" max="14336" width="11.19921875" style="122"/>
    <col min="14337" max="14337" width="3.06640625" style="122" customWidth="1"/>
    <col min="14338" max="14342" width="13.06640625" style="122" customWidth="1"/>
    <col min="14343" max="14344" width="11.19921875" style="122"/>
    <col min="14345" max="14345" width="9.19921875" style="122" bestFit="1" customWidth="1"/>
    <col min="14346" max="14592" width="11.19921875" style="122"/>
    <col min="14593" max="14593" width="3.06640625" style="122" customWidth="1"/>
    <col min="14594" max="14598" width="13.06640625" style="122" customWidth="1"/>
    <col min="14599" max="14600" width="11.19921875" style="122"/>
    <col min="14601" max="14601" width="9.19921875" style="122" bestFit="1" customWidth="1"/>
    <col min="14602" max="14848" width="11.19921875" style="122"/>
    <col min="14849" max="14849" width="3.06640625" style="122" customWidth="1"/>
    <col min="14850" max="14854" width="13.06640625" style="122" customWidth="1"/>
    <col min="14855" max="14856" width="11.19921875" style="122"/>
    <col min="14857" max="14857" width="9.19921875" style="122" bestFit="1" customWidth="1"/>
    <col min="14858" max="15104" width="11.19921875" style="122"/>
    <col min="15105" max="15105" width="3.06640625" style="122" customWidth="1"/>
    <col min="15106" max="15110" width="13.06640625" style="122" customWidth="1"/>
    <col min="15111" max="15112" width="11.19921875" style="122"/>
    <col min="15113" max="15113" width="9.19921875" style="122" bestFit="1" customWidth="1"/>
    <col min="15114" max="15360" width="11.19921875" style="122"/>
    <col min="15361" max="15361" width="3.06640625" style="122" customWidth="1"/>
    <col min="15362" max="15366" width="13.06640625" style="122" customWidth="1"/>
    <col min="15367" max="15368" width="11.19921875" style="122"/>
    <col min="15369" max="15369" width="9.19921875" style="122" bestFit="1" customWidth="1"/>
    <col min="15370" max="15616" width="11.19921875" style="122"/>
    <col min="15617" max="15617" width="3.06640625" style="122" customWidth="1"/>
    <col min="15618" max="15622" width="13.06640625" style="122" customWidth="1"/>
    <col min="15623" max="15624" width="11.19921875" style="122"/>
    <col min="15625" max="15625" width="9.19921875" style="122" bestFit="1" customWidth="1"/>
    <col min="15626" max="15872" width="11.19921875" style="122"/>
    <col min="15873" max="15873" width="3.06640625" style="122" customWidth="1"/>
    <col min="15874" max="15878" width="13.06640625" style="122" customWidth="1"/>
    <col min="15879" max="15880" width="11.19921875" style="122"/>
    <col min="15881" max="15881" width="9.19921875" style="122" bestFit="1" customWidth="1"/>
    <col min="15882" max="16128" width="11.19921875" style="122"/>
    <col min="16129" max="16129" width="3.06640625" style="122" customWidth="1"/>
    <col min="16130" max="16134" width="13.06640625" style="122" customWidth="1"/>
    <col min="16135" max="16136" width="11.19921875" style="122"/>
    <col min="16137" max="16137" width="9.19921875" style="122" bestFit="1" customWidth="1"/>
    <col min="16138" max="16384" width="11.19921875" style="122"/>
  </cols>
  <sheetData>
    <row r="1" spans="2:12">
      <c r="B1" s="342" t="s">
        <v>103</v>
      </c>
      <c r="C1" s="343"/>
      <c r="D1" s="343"/>
      <c r="E1" s="343"/>
      <c r="F1" s="344"/>
    </row>
    <row r="2" spans="2:12" ht="20.5" thickBot="1">
      <c r="B2" s="345"/>
      <c r="C2" s="346"/>
      <c r="D2" s="346"/>
      <c r="E2" s="346"/>
      <c r="F2" s="347"/>
    </row>
    <row r="3" spans="2:12" s="126" customFormat="1">
      <c r="B3" s="123" t="s">
        <v>104</v>
      </c>
      <c r="C3" s="124" t="s">
        <v>105</v>
      </c>
      <c r="D3" s="124" t="s">
        <v>106</v>
      </c>
      <c r="E3" s="348" t="s">
        <v>14</v>
      </c>
      <c r="F3" s="125" t="s">
        <v>107</v>
      </c>
    </row>
    <row r="4" spans="2:12" s="126" customFormat="1" ht="20.5" thickBot="1">
      <c r="B4" s="127" t="s">
        <v>108</v>
      </c>
      <c r="C4" s="128" t="s">
        <v>12</v>
      </c>
      <c r="D4" s="128" t="s">
        <v>109</v>
      </c>
      <c r="E4" s="349"/>
      <c r="F4" s="129" t="s">
        <v>110</v>
      </c>
    </row>
    <row r="5" spans="2:12" ht="20.5" thickBot="1">
      <c r="B5" s="152">
        <v>0</v>
      </c>
      <c r="C5" s="153">
        <v>12</v>
      </c>
      <c r="D5" s="154">
        <v>0.25</v>
      </c>
      <c r="E5" s="153">
        <v>15</v>
      </c>
      <c r="F5" s="155">
        <f>((C5*D5)+E5)/365</f>
        <v>4.9315068493150684E-2</v>
      </c>
      <c r="I5" s="156"/>
    </row>
    <row r="6" spans="2:12">
      <c r="B6" s="139">
        <v>1</v>
      </c>
      <c r="C6" s="140">
        <v>12</v>
      </c>
      <c r="D6" s="141">
        <v>0.25</v>
      </c>
      <c r="E6" s="140">
        <v>15</v>
      </c>
      <c r="F6" s="142">
        <f>((C6*D6)+E6)/365</f>
        <v>4.9315068493150684E-2</v>
      </c>
      <c r="I6" s="132"/>
    </row>
    <row r="7" spans="2:12">
      <c r="B7" s="143">
        <v>2</v>
      </c>
      <c r="C7" s="133">
        <v>14</v>
      </c>
      <c r="D7" s="134">
        <v>0.25</v>
      </c>
      <c r="E7" s="135">
        <v>15</v>
      </c>
      <c r="F7" s="144">
        <f>((C7*D7)+E7)/365</f>
        <v>5.0684931506849315E-2</v>
      </c>
    </row>
    <row r="8" spans="2:12">
      <c r="B8" s="145">
        <v>3</v>
      </c>
      <c r="C8" s="130">
        <v>16</v>
      </c>
      <c r="D8" s="131">
        <v>0.25</v>
      </c>
      <c r="E8" s="130">
        <v>15</v>
      </c>
      <c r="F8" s="146">
        <f>((C8*D8)+E8)/365</f>
        <v>5.2054794520547946E-2</v>
      </c>
    </row>
    <row r="9" spans="2:12">
      <c r="B9" s="143">
        <v>4</v>
      </c>
      <c r="C9" s="133">
        <v>18</v>
      </c>
      <c r="D9" s="136">
        <v>0.25</v>
      </c>
      <c r="E9" s="133">
        <v>15</v>
      </c>
      <c r="F9" s="147">
        <f t="shared" ref="F9:F35" si="0">((C9*D9)+E9)/365</f>
        <v>5.3424657534246578E-2</v>
      </c>
    </row>
    <row r="10" spans="2:12">
      <c r="B10" s="145">
        <v>5</v>
      </c>
      <c r="C10" s="130">
        <v>20</v>
      </c>
      <c r="D10" s="131">
        <v>0.25</v>
      </c>
      <c r="E10" s="130">
        <v>15</v>
      </c>
      <c r="F10" s="146">
        <f t="shared" si="0"/>
        <v>5.4794520547945202E-2</v>
      </c>
    </row>
    <row r="11" spans="2:12">
      <c r="B11" s="145">
        <v>6</v>
      </c>
      <c r="C11" s="130">
        <v>22</v>
      </c>
      <c r="D11" s="131">
        <v>0.25</v>
      </c>
      <c r="E11" s="130">
        <v>15</v>
      </c>
      <c r="F11" s="146">
        <f t="shared" si="0"/>
        <v>5.6164383561643834E-2</v>
      </c>
    </row>
    <row r="12" spans="2:12">
      <c r="B12" s="145">
        <v>7</v>
      </c>
      <c r="C12" s="130">
        <v>22</v>
      </c>
      <c r="D12" s="131">
        <v>0.25</v>
      </c>
      <c r="E12" s="130">
        <v>15</v>
      </c>
      <c r="F12" s="146">
        <f t="shared" si="0"/>
        <v>5.6164383561643834E-2</v>
      </c>
    </row>
    <row r="13" spans="2:12">
      <c r="B13" s="145">
        <v>8</v>
      </c>
      <c r="C13" s="130">
        <v>22</v>
      </c>
      <c r="D13" s="131">
        <v>0.25</v>
      </c>
      <c r="E13" s="130">
        <v>15</v>
      </c>
      <c r="F13" s="146">
        <f t="shared" si="0"/>
        <v>5.6164383561643834E-2</v>
      </c>
      <c r="L13" s="137"/>
    </row>
    <row r="14" spans="2:12">
      <c r="B14" s="145">
        <v>9</v>
      </c>
      <c r="C14" s="130">
        <v>22</v>
      </c>
      <c r="D14" s="131">
        <v>0.25</v>
      </c>
      <c r="E14" s="130">
        <v>15</v>
      </c>
      <c r="F14" s="146">
        <f t="shared" si="0"/>
        <v>5.6164383561643834E-2</v>
      </c>
    </row>
    <row r="15" spans="2:12">
      <c r="B15" s="143">
        <v>10</v>
      </c>
      <c r="C15" s="133">
        <v>22</v>
      </c>
      <c r="D15" s="136">
        <v>0.25</v>
      </c>
      <c r="E15" s="133">
        <v>15</v>
      </c>
      <c r="F15" s="147">
        <f t="shared" si="0"/>
        <v>5.6164383561643834E-2</v>
      </c>
    </row>
    <row r="16" spans="2:12">
      <c r="B16" s="143">
        <v>11</v>
      </c>
      <c r="C16" s="133">
        <v>24</v>
      </c>
      <c r="D16" s="136">
        <v>0.25</v>
      </c>
      <c r="E16" s="133">
        <v>15</v>
      </c>
      <c r="F16" s="147">
        <f t="shared" si="0"/>
        <v>5.7534246575342465E-2</v>
      </c>
      <c r="I16" s="132"/>
    </row>
    <row r="17" spans="2:6">
      <c r="B17" s="143">
        <v>12</v>
      </c>
      <c r="C17" s="133">
        <v>24</v>
      </c>
      <c r="D17" s="136">
        <v>0.25</v>
      </c>
      <c r="E17" s="133">
        <v>15</v>
      </c>
      <c r="F17" s="147">
        <f t="shared" si="0"/>
        <v>5.7534246575342465E-2</v>
      </c>
    </row>
    <row r="18" spans="2:6">
      <c r="B18" s="143">
        <v>13</v>
      </c>
      <c r="C18" s="133">
        <v>24</v>
      </c>
      <c r="D18" s="136">
        <v>0.25</v>
      </c>
      <c r="E18" s="133">
        <v>15</v>
      </c>
      <c r="F18" s="147">
        <f t="shared" si="0"/>
        <v>5.7534246575342465E-2</v>
      </c>
    </row>
    <row r="19" spans="2:6">
      <c r="B19" s="143">
        <v>14</v>
      </c>
      <c r="C19" s="133">
        <v>24</v>
      </c>
      <c r="D19" s="136">
        <v>0.25</v>
      </c>
      <c r="E19" s="133">
        <v>15</v>
      </c>
      <c r="F19" s="147">
        <f t="shared" si="0"/>
        <v>5.7534246575342465E-2</v>
      </c>
    </row>
    <row r="20" spans="2:6">
      <c r="B20" s="145">
        <v>15</v>
      </c>
      <c r="C20" s="130">
        <v>24</v>
      </c>
      <c r="D20" s="131">
        <v>0.25</v>
      </c>
      <c r="E20" s="130">
        <v>15</v>
      </c>
      <c r="F20" s="146">
        <f t="shared" si="0"/>
        <v>5.7534246575342465E-2</v>
      </c>
    </row>
    <row r="21" spans="2:6">
      <c r="B21" s="145">
        <v>16</v>
      </c>
      <c r="C21" s="130">
        <v>26</v>
      </c>
      <c r="D21" s="131">
        <v>0.25</v>
      </c>
      <c r="E21" s="130">
        <v>15</v>
      </c>
      <c r="F21" s="146">
        <f t="shared" si="0"/>
        <v>5.8904109589041097E-2</v>
      </c>
    </row>
    <row r="22" spans="2:6">
      <c r="B22" s="145">
        <v>17</v>
      </c>
      <c r="C22" s="130">
        <v>26</v>
      </c>
      <c r="D22" s="131">
        <v>0.25</v>
      </c>
      <c r="E22" s="130">
        <v>15</v>
      </c>
      <c r="F22" s="146">
        <f t="shared" si="0"/>
        <v>5.8904109589041097E-2</v>
      </c>
    </row>
    <row r="23" spans="2:6">
      <c r="B23" s="145">
        <v>18</v>
      </c>
      <c r="C23" s="130">
        <v>26</v>
      </c>
      <c r="D23" s="131">
        <v>0.25</v>
      </c>
      <c r="E23" s="130">
        <v>15</v>
      </c>
      <c r="F23" s="146">
        <f t="shared" si="0"/>
        <v>5.8904109589041097E-2</v>
      </c>
    </row>
    <row r="24" spans="2:6">
      <c r="B24" s="145">
        <v>19</v>
      </c>
      <c r="C24" s="130">
        <v>26</v>
      </c>
      <c r="D24" s="131">
        <v>0.25</v>
      </c>
      <c r="E24" s="130">
        <v>15</v>
      </c>
      <c r="F24" s="146">
        <f t="shared" si="0"/>
        <v>5.8904109589041097E-2</v>
      </c>
    </row>
    <row r="25" spans="2:6">
      <c r="B25" s="143">
        <v>20</v>
      </c>
      <c r="C25" s="133">
        <v>26</v>
      </c>
      <c r="D25" s="136">
        <v>0.25</v>
      </c>
      <c r="E25" s="133">
        <v>15</v>
      </c>
      <c r="F25" s="147">
        <f t="shared" si="0"/>
        <v>5.8904109589041097E-2</v>
      </c>
    </row>
    <row r="26" spans="2:6">
      <c r="B26" s="143">
        <v>21</v>
      </c>
      <c r="C26" s="133">
        <v>28</v>
      </c>
      <c r="D26" s="136">
        <v>0.25</v>
      </c>
      <c r="E26" s="133">
        <v>15</v>
      </c>
      <c r="F26" s="147">
        <f t="shared" si="0"/>
        <v>6.0273972602739728E-2</v>
      </c>
    </row>
    <row r="27" spans="2:6">
      <c r="B27" s="143">
        <v>22</v>
      </c>
      <c r="C27" s="133">
        <v>28</v>
      </c>
      <c r="D27" s="136">
        <v>0.25</v>
      </c>
      <c r="E27" s="133">
        <v>15</v>
      </c>
      <c r="F27" s="147">
        <f t="shared" si="0"/>
        <v>6.0273972602739728E-2</v>
      </c>
    </row>
    <row r="28" spans="2:6">
      <c r="B28" s="143">
        <v>23</v>
      </c>
      <c r="C28" s="133">
        <v>28</v>
      </c>
      <c r="D28" s="136">
        <v>0.25</v>
      </c>
      <c r="E28" s="133">
        <v>15</v>
      </c>
      <c r="F28" s="147">
        <f t="shared" si="0"/>
        <v>6.0273972602739728E-2</v>
      </c>
    </row>
    <row r="29" spans="2:6">
      <c r="B29" s="143">
        <v>24</v>
      </c>
      <c r="C29" s="133">
        <v>28</v>
      </c>
      <c r="D29" s="136">
        <v>0.25</v>
      </c>
      <c r="E29" s="133">
        <v>15</v>
      </c>
      <c r="F29" s="147">
        <f t="shared" si="0"/>
        <v>6.0273972602739728E-2</v>
      </c>
    </row>
    <row r="30" spans="2:6">
      <c r="B30" s="145">
        <v>25</v>
      </c>
      <c r="C30" s="130">
        <v>28</v>
      </c>
      <c r="D30" s="131">
        <v>0.25</v>
      </c>
      <c r="E30" s="130">
        <v>15</v>
      </c>
      <c r="F30" s="146">
        <f t="shared" si="0"/>
        <v>6.0273972602739728E-2</v>
      </c>
    </row>
    <row r="31" spans="2:6">
      <c r="B31" s="145">
        <v>26</v>
      </c>
      <c r="C31" s="130">
        <v>30</v>
      </c>
      <c r="D31" s="131">
        <v>0.25</v>
      </c>
      <c r="E31" s="130">
        <v>15</v>
      </c>
      <c r="F31" s="146">
        <f t="shared" si="0"/>
        <v>6.1643835616438353E-2</v>
      </c>
    </row>
    <row r="32" spans="2:6">
      <c r="B32" s="145">
        <v>27</v>
      </c>
      <c r="C32" s="130">
        <v>30</v>
      </c>
      <c r="D32" s="131">
        <v>0.25</v>
      </c>
      <c r="E32" s="130">
        <v>15</v>
      </c>
      <c r="F32" s="146">
        <f t="shared" si="0"/>
        <v>6.1643835616438353E-2</v>
      </c>
    </row>
    <row r="33" spans="2:6">
      <c r="B33" s="145">
        <v>28</v>
      </c>
      <c r="C33" s="130">
        <v>30</v>
      </c>
      <c r="D33" s="131">
        <v>0.25</v>
      </c>
      <c r="E33" s="130">
        <v>15</v>
      </c>
      <c r="F33" s="146">
        <f t="shared" si="0"/>
        <v>6.1643835616438353E-2</v>
      </c>
    </row>
    <row r="34" spans="2:6">
      <c r="B34" s="145">
        <v>29</v>
      </c>
      <c r="C34" s="130">
        <v>30</v>
      </c>
      <c r="D34" s="131">
        <v>0.25</v>
      </c>
      <c r="E34" s="130">
        <v>15</v>
      </c>
      <c r="F34" s="146">
        <f t="shared" si="0"/>
        <v>6.1643835616438353E-2</v>
      </c>
    </row>
    <row r="35" spans="2:6" ht="20.5" thickBot="1">
      <c r="B35" s="148">
        <v>30</v>
      </c>
      <c r="C35" s="149">
        <v>30</v>
      </c>
      <c r="D35" s="150">
        <v>0.25</v>
      </c>
      <c r="E35" s="149">
        <v>15</v>
      </c>
      <c r="F35" s="151">
        <f t="shared" si="0"/>
        <v>6.1643835616438353E-2</v>
      </c>
    </row>
    <row r="36" spans="2:6">
      <c r="B36" s="138"/>
      <c r="C36" s="138"/>
      <c r="D36" s="138"/>
      <c r="E36" s="138"/>
      <c r="F36" s="138"/>
    </row>
  </sheetData>
  <mergeCells count="2">
    <mergeCell ref="B1:F2"/>
    <mergeCell ref="E3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BDE1-425E-4919-BECC-DFC8602B4A2E}">
  <dimension ref="C1:N11"/>
  <sheetViews>
    <sheetView showGridLines="0" zoomScale="80" zoomScaleNormal="80" workbookViewId="0">
      <selection activeCell="E9" sqref="E9"/>
    </sheetView>
  </sheetViews>
  <sheetFormatPr baseColWidth="10" defaultColWidth="10.73046875" defaultRowHeight="15"/>
  <cols>
    <col min="1" max="2" width="10.73046875" style="204"/>
    <col min="3" max="3" width="8.19921875" style="204" bestFit="1" customWidth="1"/>
    <col min="4" max="5" width="9.9296875" style="204" customWidth="1"/>
    <col min="6" max="6" width="11.19921875" style="204" customWidth="1"/>
    <col min="7" max="14" width="10.73046875" style="205"/>
    <col min="15" max="16384" width="10.73046875" style="204"/>
  </cols>
  <sheetData>
    <row r="1" spans="3:14">
      <c r="C1" s="350">
        <v>2024</v>
      </c>
      <c r="D1" s="204" t="s">
        <v>122</v>
      </c>
      <c r="E1" s="204">
        <v>248.93</v>
      </c>
    </row>
    <row r="2" spans="3:14" ht="15.5" thickBot="1">
      <c r="C2" s="351"/>
      <c r="D2" s="204" t="s">
        <v>123</v>
      </c>
      <c r="E2" s="204">
        <v>108.57</v>
      </c>
    </row>
    <row r="3" spans="3:14" ht="39.5" thickBot="1">
      <c r="C3" s="206" t="s">
        <v>124</v>
      </c>
      <c r="D3" s="206" t="s">
        <v>125</v>
      </c>
      <c r="E3" s="206" t="s">
        <v>126</v>
      </c>
      <c r="F3" s="207">
        <v>2023</v>
      </c>
      <c r="G3" s="210">
        <v>2024</v>
      </c>
      <c r="H3" s="207">
        <v>2025</v>
      </c>
      <c r="I3" s="207">
        <v>2026</v>
      </c>
      <c r="J3" s="207">
        <v>2027</v>
      </c>
      <c r="K3" s="207">
        <v>2028</v>
      </c>
      <c r="L3" s="207">
        <v>2029</v>
      </c>
      <c r="M3" s="207">
        <v>2030</v>
      </c>
      <c r="N3" s="204"/>
    </row>
    <row r="4" spans="3:14" ht="15.5" thickBot="1">
      <c r="C4" s="206" t="s">
        <v>127</v>
      </c>
      <c r="D4" s="206"/>
      <c r="E4" s="206"/>
      <c r="F4" s="208">
        <v>3.15E-2</v>
      </c>
      <c r="G4" s="211">
        <v>3.15E-2</v>
      </c>
      <c r="H4" s="208">
        <v>3.15E-2</v>
      </c>
      <c r="I4" s="208">
        <v>3.15E-2</v>
      </c>
      <c r="J4" s="208">
        <v>3.15E-2</v>
      </c>
      <c r="K4" s="208">
        <v>3.15E-2</v>
      </c>
      <c r="L4" s="208">
        <v>3.15E-2</v>
      </c>
      <c r="M4" s="208">
        <v>3.15E-2</v>
      </c>
      <c r="N4" s="204"/>
    </row>
    <row r="5" spans="3:14" ht="26.5" thickBot="1">
      <c r="C5" s="206" t="s">
        <v>128</v>
      </c>
      <c r="D5" s="209">
        <f>1.01*E1*30.4</f>
        <v>7643.1467200000006</v>
      </c>
      <c r="E5" s="209">
        <f>+E2*1.5*30.4</f>
        <v>4950.7919999999995</v>
      </c>
      <c r="F5" s="208">
        <v>3.2800000000000003E-2</v>
      </c>
      <c r="G5" s="211">
        <v>3.4099999999999998E-2</v>
      </c>
      <c r="H5" s="208">
        <v>3.5400000000000001E-2</v>
      </c>
      <c r="I5" s="208">
        <v>3.6799999999999999E-2</v>
      </c>
      <c r="J5" s="208">
        <v>3.8100000000000002E-2</v>
      </c>
      <c r="K5" s="208">
        <v>3.9399999999999998E-2</v>
      </c>
      <c r="L5" s="208">
        <v>4.07E-2</v>
      </c>
      <c r="M5" s="208">
        <v>4.2000000000000003E-2</v>
      </c>
      <c r="N5" s="204"/>
    </row>
    <row r="6" spans="3:14" ht="26.5" thickBot="1">
      <c r="C6" s="206" t="s">
        <v>129</v>
      </c>
      <c r="D6" s="209">
        <f>+E2*1.51*30.4</f>
        <v>4983.7972799999998</v>
      </c>
      <c r="E6" s="209">
        <f>+E2*2*30.4</f>
        <v>6601.0559999999996</v>
      </c>
      <c r="F6" s="208">
        <v>3.5799999999999998E-2</v>
      </c>
      <c r="G6" s="211">
        <v>0.04</v>
      </c>
      <c r="H6" s="208">
        <v>4.4299999999999999E-2</v>
      </c>
      <c r="I6" s="208">
        <v>4.8500000000000001E-2</v>
      </c>
      <c r="J6" s="208">
        <v>5.28E-2</v>
      </c>
      <c r="K6" s="208">
        <v>5.7000000000000002E-2</v>
      </c>
      <c r="L6" s="208">
        <v>6.13E-2</v>
      </c>
      <c r="M6" s="208">
        <v>6.5500000000000003E-2</v>
      </c>
      <c r="N6" s="204"/>
    </row>
    <row r="7" spans="3:14" ht="26.5" thickBot="1">
      <c r="C7" s="206" t="s">
        <v>130</v>
      </c>
      <c r="D7" s="209">
        <f>+E2*2.01*30.4</f>
        <v>6634.0612799999981</v>
      </c>
      <c r="E7" s="209">
        <f>2.5*E2*30.4</f>
        <v>8251.3199999999979</v>
      </c>
      <c r="F7" s="208">
        <v>3.7499999999999999E-2</v>
      </c>
      <c r="G7" s="211">
        <v>4.3499999999999997E-2</v>
      </c>
      <c r="H7" s="208">
        <v>4.9500000000000002E-2</v>
      </c>
      <c r="I7" s="208">
        <v>5.5599999999999997E-2</v>
      </c>
      <c r="J7" s="208">
        <v>6.1600000000000002E-2</v>
      </c>
      <c r="K7" s="208">
        <v>6.7599999999999993E-2</v>
      </c>
      <c r="L7" s="208">
        <v>7.3599999999999999E-2</v>
      </c>
      <c r="M7" s="208">
        <v>7.9600000000000004E-2</v>
      </c>
      <c r="N7" s="204"/>
    </row>
    <row r="8" spans="3:14" ht="26.5" thickBot="1">
      <c r="C8" s="206" t="s">
        <v>131</v>
      </c>
      <c r="D8" s="209">
        <f>2.51*E2*30.4</f>
        <v>8284.3252799999991</v>
      </c>
      <c r="E8" s="209">
        <f>3*E2*30.4</f>
        <v>9901.5839999999989</v>
      </c>
      <c r="F8" s="208">
        <v>3.8699999999999998E-2</v>
      </c>
      <c r="G8" s="211">
        <v>4.5900000000000003E-2</v>
      </c>
      <c r="H8" s="208">
        <v>5.3100000000000001E-2</v>
      </c>
      <c r="I8" s="208">
        <v>6.0299999999999999E-2</v>
      </c>
      <c r="J8" s="208">
        <v>6.7500000000000004E-2</v>
      </c>
      <c r="K8" s="208">
        <v>7.46E-2</v>
      </c>
      <c r="L8" s="208">
        <v>8.1799999999999998E-2</v>
      </c>
      <c r="M8" s="208">
        <v>8.8999999999999996E-2</v>
      </c>
      <c r="N8" s="204"/>
    </row>
    <row r="9" spans="3:14" ht="26.5" thickBot="1">
      <c r="C9" s="206" t="s">
        <v>132</v>
      </c>
      <c r="D9" s="209">
        <f>3.01*E2*30.4</f>
        <v>9934.5892799999983</v>
      </c>
      <c r="E9" s="209">
        <f>3.5*E2*30.4</f>
        <v>11551.848</v>
      </c>
      <c r="F9" s="208">
        <v>3.95E-2</v>
      </c>
      <c r="G9" s="211">
        <v>4.7600000000000003E-2</v>
      </c>
      <c r="H9" s="208">
        <v>5.5599999999999997E-2</v>
      </c>
      <c r="I9" s="208">
        <v>6.3600000000000004E-2</v>
      </c>
      <c r="J9" s="208">
        <v>7.1599999999999997E-2</v>
      </c>
      <c r="K9" s="208">
        <v>7.9699999999999993E-2</v>
      </c>
      <c r="L9" s="208">
        <v>8.77E-2</v>
      </c>
      <c r="M9" s="208">
        <v>9.5699999999999993E-2</v>
      </c>
      <c r="N9" s="204"/>
    </row>
    <row r="10" spans="3:14" ht="26.5" thickBot="1">
      <c r="C10" s="206" t="s">
        <v>133</v>
      </c>
      <c r="D10" s="209">
        <f>3.51*E2*30.4</f>
        <v>11584.853279999999</v>
      </c>
      <c r="E10" s="209">
        <f>4*E2*30.4</f>
        <v>13202.111999999999</v>
      </c>
      <c r="F10" s="208">
        <v>4.02E-2</v>
      </c>
      <c r="G10" s="211">
        <v>4.8800000000000003E-2</v>
      </c>
      <c r="H10" s="208">
        <v>5.7500000000000002E-2</v>
      </c>
      <c r="I10" s="208">
        <v>6.6100000000000006E-2</v>
      </c>
      <c r="J10" s="208">
        <v>7.4800000000000005E-2</v>
      </c>
      <c r="K10" s="208">
        <v>8.3500000000000005E-2</v>
      </c>
      <c r="L10" s="208">
        <v>9.2100000000000001E-2</v>
      </c>
      <c r="M10" s="208">
        <v>0.1008</v>
      </c>
      <c r="N10" s="204"/>
    </row>
    <row r="11" spans="3:14" ht="26.5" thickBot="1">
      <c r="C11" s="206" t="s">
        <v>134</v>
      </c>
      <c r="D11" s="352">
        <f>4.01*E2*30.4</f>
        <v>13235.117279999999</v>
      </c>
      <c r="E11" s="353"/>
      <c r="F11" s="208">
        <v>4.24E-2</v>
      </c>
      <c r="G11" s="211">
        <v>5.33E-2</v>
      </c>
      <c r="H11" s="208">
        <v>6.4199999999999993E-2</v>
      </c>
      <c r="I11" s="208">
        <v>7.51E-2</v>
      </c>
      <c r="J11" s="208">
        <v>8.5999999999999993E-2</v>
      </c>
      <c r="K11" s="208">
        <v>9.69E-2</v>
      </c>
      <c r="L11" s="208">
        <v>0.10780000000000001</v>
      </c>
      <c r="M11" s="208">
        <v>0.1188</v>
      </c>
      <c r="N11" s="204"/>
    </row>
  </sheetData>
  <mergeCells count="2">
    <mergeCell ref="C1:C2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PROPUESTA</vt:lpstr>
      <vt:lpstr>FACTIBILIDAD</vt:lpstr>
      <vt:lpstr>RESUMEN</vt:lpstr>
      <vt:lpstr>IMSS</vt:lpstr>
      <vt:lpstr>INFONAVIT</vt:lpstr>
      <vt:lpstr>TABLA VAC</vt:lpstr>
      <vt:lpstr>RCV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csyap111</dc:creator>
  <cp:lastModifiedBy>Sistemas</cp:lastModifiedBy>
  <cp:lastPrinted>2025-07-08T19:30:34Z</cp:lastPrinted>
  <dcterms:created xsi:type="dcterms:W3CDTF">2014-05-14T18:31:34Z</dcterms:created>
  <dcterms:modified xsi:type="dcterms:W3CDTF">2025-07-08T19:34:42Z</dcterms:modified>
</cp:coreProperties>
</file>